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5BXB Website\"/>
    </mc:Choice>
  </mc:AlternateContent>
  <xr:revisionPtr revIDLastSave="0" documentId="13_ncr:1_{B11CADD0-BF72-49C6-B4B3-488B04195369}" xr6:coauthVersionLast="40" xr6:coauthVersionMax="40" xr10:uidLastSave="{00000000-0000-0000-0000-000000000000}"/>
  <bookViews>
    <workbookView xWindow="0" yWindow="0" windowWidth="17670" windowHeight="12120" tabRatio="592" xr2:uid="{00000000-000D-0000-FFFF-FFFF00000000}"/>
  </bookViews>
  <sheets>
    <sheet name="Coax Length &amp; Loss Calculator" sheetId="2" r:id="rId1"/>
  </sheets>
  <definedNames>
    <definedName name="_xlnm.Print_Area" localSheetId="0">'Coax Length &amp; Loss Calculator'!$A$1:$Z$47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" i="2" l="1"/>
  <c r="N23" i="2"/>
  <c r="N21" i="2" s="1"/>
  <c r="N8" i="2"/>
  <c r="N12" i="2" s="1"/>
  <c r="N9" i="2" s="1"/>
  <c r="M33" i="2" l="1"/>
  <c r="N33" i="2" s="1"/>
  <c r="N30" i="2" s="1"/>
  <c r="N10" i="2"/>
  <c r="N11" i="2"/>
  <c r="K33" i="2"/>
  <c r="L33" i="2" s="1"/>
  <c r="U32" i="2" l="1"/>
  <c r="X31" i="2"/>
  <c r="R31" i="2"/>
  <c r="U30" i="2"/>
  <c r="U29" i="2"/>
  <c r="X28" i="2"/>
  <c r="R28" i="2"/>
  <c r="U27" i="2"/>
  <c r="U26" i="2"/>
  <c r="X25" i="2"/>
  <c r="R25" i="2"/>
  <c r="U24" i="2"/>
  <c r="X23" i="2"/>
  <c r="R23" i="2"/>
  <c r="X22" i="2"/>
  <c r="R22" i="2"/>
  <c r="U21" i="2"/>
  <c r="U20" i="2"/>
  <c r="X19" i="2"/>
  <c r="R19" i="2"/>
  <c r="U18" i="2"/>
  <c r="X17" i="2"/>
  <c r="R17" i="2"/>
  <c r="U16" i="2"/>
  <c r="X15" i="2"/>
  <c r="R15" i="2"/>
  <c r="U14" i="2"/>
  <c r="X13" i="2"/>
  <c r="R13" i="2"/>
  <c r="U12" i="2"/>
  <c r="U11" i="2"/>
  <c r="U10" i="2"/>
  <c r="U9" i="2"/>
  <c r="U8" i="2"/>
  <c r="U7" i="2"/>
  <c r="X6" i="2"/>
  <c r="R6" i="2"/>
  <c r="U5" i="2"/>
  <c r="X4" i="2"/>
  <c r="R4" i="2"/>
  <c r="R14" i="2"/>
  <c r="R12" i="2"/>
  <c r="R11" i="2"/>
  <c r="R10" i="2"/>
  <c r="X9" i="2"/>
  <c r="X8" i="2"/>
  <c r="X7" i="2"/>
  <c r="R7" i="2"/>
  <c r="X5" i="2"/>
  <c r="U4" i="2"/>
  <c r="X32" i="2"/>
  <c r="R32" i="2"/>
  <c r="U31" i="2"/>
  <c r="X30" i="2"/>
  <c r="R30" i="2"/>
  <c r="X29" i="2"/>
  <c r="R29" i="2"/>
  <c r="U28" i="2"/>
  <c r="X27" i="2"/>
  <c r="R27" i="2"/>
  <c r="X26" i="2"/>
  <c r="R26" i="2"/>
  <c r="U25" i="2"/>
  <c r="X24" i="2"/>
  <c r="R24" i="2"/>
  <c r="U23" i="2"/>
  <c r="U22" i="2"/>
  <c r="X21" i="2"/>
  <c r="R21" i="2"/>
  <c r="X20" i="2"/>
  <c r="R20" i="2"/>
  <c r="U19" i="2"/>
  <c r="X18" i="2"/>
  <c r="R18" i="2"/>
  <c r="U17" i="2"/>
  <c r="X16" i="2"/>
  <c r="R16" i="2"/>
  <c r="U15" i="2"/>
  <c r="X14" i="2"/>
  <c r="U13" i="2"/>
  <c r="X12" i="2"/>
  <c r="X11" i="2"/>
  <c r="X10" i="2"/>
  <c r="R9" i="2"/>
  <c r="R8" i="2"/>
  <c r="U6" i="2"/>
  <c r="R5" i="2"/>
</calcChain>
</file>

<file path=xl/sharedStrings.xml><?xml version="1.0" encoding="utf-8"?>
<sst xmlns="http://schemas.openxmlformats.org/spreadsheetml/2006/main" count="173" uniqueCount="79">
  <si>
    <t>m</t>
  </si>
  <si>
    <t>LMR-600</t>
  </si>
  <si>
    <t>LMR-400</t>
  </si>
  <si>
    <t>LMR-900</t>
  </si>
  <si>
    <t>Ecoflex-10</t>
  </si>
  <si>
    <t>Ecoflex-15</t>
  </si>
  <si>
    <t>RG-58</t>
  </si>
  <si>
    <t>RG-213</t>
  </si>
  <si>
    <t>Aircell-7</t>
  </si>
  <si>
    <t>Westflex-103</t>
  </si>
  <si>
    <t>Aircell-5</t>
  </si>
  <si>
    <t>H-100</t>
  </si>
  <si>
    <t>Ecoflex-10 Plus</t>
  </si>
  <si>
    <t>OD (mm)</t>
  </si>
  <si>
    <t>Aircom Plus</t>
  </si>
  <si>
    <t>AVA5-50 (LDF5-50)</t>
  </si>
  <si>
    <t>AVA4-50 (LDF4-50)</t>
  </si>
  <si>
    <t>AVA2-50 (LDF2-50)</t>
  </si>
  <si>
    <t>AVA6-50 (LDF6-50)</t>
  </si>
  <si>
    <t>COAXIAL LENGTH CALCULATOR</t>
  </si>
  <si>
    <t>VF</t>
  </si>
  <si>
    <t>70 MHz</t>
  </si>
  <si>
    <t>50 MHz</t>
  </si>
  <si>
    <t>144 MHz</t>
  </si>
  <si>
    <t>432 MHz</t>
  </si>
  <si>
    <t>1296 MHz</t>
  </si>
  <si>
    <t>Loss Attenuation in dB per 100m</t>
  </si>
  <si>
    <t>Coaxial Cable</t>
  </si>
  <si>
    <t>Mini RG-8</t>
  </si>
  <si>
    <t>POWER COMPENSATOR</t>
  </si>
  <si>
    <t>COAXIAL LOSS CALCULATOR</t>
  </si>
  <si>
    <t>Watts</t>
  </si>
  <si>
    <t>dB</t>
  </si>
  <si>
    <t>dBW</t>
  </si>
  <si>
    <t xml:space="preserve">Enter coax loss per 100m @ chosen </t>
  </si>
  <si>
    <t xml:space="preserve">Enter Velocity Factor </t>
  </si>
  <si>
    <t xml:space="preserve">Enter Frequency (MHz) </t>
  </si>
  <si>
    <t>Enter total coaxial length including 1/4λ</t>
  </si>
  <si>
    <t xml:space="preserve"> e.g. 50.150  </t>
  </si>
  <si>
    <t>M&amp;P Broad-Pro 50</t>
  </si>
  <si>
    <t>M&amp;P Ultraflex 10</t>
  </si>
  <si>
    <t>M&amp;P Ultraflex 7</t>
  </si>
  <si>
    <t>M&amp;P Airborne 5</t>
  </si>
  <si>
    <t>M&amp;P RG-58 C/U</t>
  </si>
  <si>
    <t>M&amp;P RG-174 A/U</t>
  </si>
  <si>
    <t>M&amp;P RG-214 A/U</t>
  </si>
  <si>
    <t>Ecoflex-15 Plus</t>
  </si>
  <si>
    <t>2.3*</t>
  </si>
  <si>
    <t>FXL-540</t>
  </si>
  <si>
    <t>1.9*</t>
  </si>
  <si>
    <t>FSJ4-50B</t>
  </si>
  <si>
    <t>FXL-780</t>
  </si>
  <si>
    <t>1*</t>
  </si>
  <si>
    <t>3*</t>
  </si>
  <si>
    <t>0.7*</t>
  </si>
  <si>
    <t>FXL-1480</t>
  </si>
  <si>
    <r>
      <t xml:space="preserve">OD = Outside Diameter, VF = Velocity Factor, </t>
    </r>
    <r>
      <rPr>
        <u/>
        <sz val="10"/>
        <color theme="1"/>
        <rFont val="Arial"/>
        <family val="2"/>
      </rPr>
      <t>*</t>
    </r>
    <r>
      <rPr>
        <u/>
        <sz val="8"/>
        <color theme="1"/>
        <rFont val="Arial"/>
        <family val="2"/>
      </rPr>
      <t xml:space="preserve"> = Estimated Loss</t>
    </r>
  </si>
  <si>
    <t>Table sorted by loss attenuation at 1296MHz</t>
  </si>
  <si>
    <t xml:space="preserve">Total TX / RX coaxial loss </t>
  </si>
  <si>
    <t xml:space="preserve">frequency from table opposite </t>
  </si>
  <si>
    <t xml:space="preserve">Enter required power at the aerial </t>
  </si>
  <si>
    <t xml:space="preserve">Required transmitter output due to </t>
  </si>
  <si>
    <t xml:space="preserve">coaxial power loss </t>
  </si>
  <si>
    <t xml:space="preserve">Full Wavelength </t>
  </si>
  <si>
    <t xml:space="preserve">5/8 Wavelength </t>
  </si>
  <si>
    <t xml:space="preserve">1/2 Wavelength </t>
  </si>
  <si>
    <t xml:space="preserve">1/4 Wavelength </t>
  </si>
  <si>
    <t xml:space="preserve">1/8 Wavelength </t>
  </si>
  <si>
    <r>
      <t xml:space="preserve">Multiple </t>
    </r>
    <r>
      <rPr>
        <sz val="14"/>
        <color theme="1"/>
        <rFont val="Calibri"/>
        <family val="2"/>
      </rPr>
      <t>½</t>
    </r>
    <r>
      <rPr>
        <b/>
        <sz val="9"/>
        <color theme="1"/>
        <rFont val="Arial"/>
        <family val="2"/>
      </rPr>
      <t xml:space="preserve"> Wavelengths</t>
    </r>
  </si>
  <si>
    <t>LMR-240</t>
  </si>
  <si>
    <t>LMR-300</t>
  </si>
  <si>
    <t>LMR-500</t>
  </si>
  <si>
    <t>RG-213 (Foam)</t>
  </si>
  <si>
    <t>M&amp;P Ultraflex 13</t>
  </si>
  <si>
    <t>M&amp;P Hyperflex 13</t>
  </si>
  <si>
    <t>M&amp;P Hyperflex 10</t>
  </si>
  <si>
    <t>M&amp;P Hyperflex 5</t>
  </si>
  <si>
    <t>Copyright © Steve Burrows M5BXB 2019</t>
  </si>
  <si>
    <r>
      <t xml:space="preserve"> </t>
    </r>
    <r>
      <rPr>
        <b/>
        <sz val="11"/>
        <color theme="1"/>
        <rFont val="Arial"/>
        <family val="2"/>
      </rPr>
      <t>Version 5.3</t>
    </r>
    <r>
      <rPr>
        <sz val="9"/>
        <color theme="1"/>
        <rFont val="Arial"/>
        <family val="2"/>
      </rPr>
      <t xml:space="preserve"> - Updated 11 January 2019. Please delete any previous versions.               Check for updates by visiting www.m5bxb.com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</si>
</sst>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_ ;[Red]\-0.00\ 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"/>
      <family val="2"/>
    </font>
    <font>
      <b/>
      <u/>
      <sz val="12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10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u/>
      <sz val="10"/>
      <color theme="1"/>
      <name val="Arial"/>
      <family val="2"/>
    </font>
    <font>
      <sz val="14"/>
      <color theme="1"/>
      <name val="Calibri"/>
      <family val="2"/>
    </font>
    <font>
      <b/>
      <i/>
      <sz val="8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2" borderId="0" xfId="0" applyFont="1" applyFill="1"/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 vertical="center"/>
      <protection hidden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2" fontId="6" fillId="4" borderId="4" xfId="0" applyNumberFormat="1" applyFont="1" applyFill="1" applyBorder="1" applyAlignment="1" applyProtection="1">
      <alignment horizontal="right" vertical="center"/>
      <protection hidden="1"/>
    </xf>
    <xf numFmtId="0" fontId="6" fillId="6" borderId="1" xfId="0" applyFont="1" applyFill="1" applyBorder="1" applyAlignment="1" applyProtection="1">
      <alignment horizontal="center"/>
      <protection locked="0"/>
    </xf>
    <xf numFmtId="0" fontId="3" fillId="3" borderId="0" xfId="0" applyFont="1" applyFill="1" applyProtection="1">
      <protection hidden="1"/>
    </xf>
    <xf numFmtId="164" fontId="6" fillId="3" borderId="0" xfId="0" applyNumberFormat="1" applyFont="1" applyFill="1" applyBorder="1" applyAlignment="1" applyProtection="1">
      <alignment horizontal="left" vertical="center"/>
      <protection hidden="1"/>
    </xf>
    <xf numFmtId="0" fontId="6" fillId="3" borderId="0" xfId="0" applyFont="1" applyFill="1" applyAlignment="1" applyProtection="1">
      <alignment horizontal="right" vertical="center"/>
      <protection hidden="1"/>
    </xf>
    <xf numFmtId="166" fontId="6" fillId="5" borderId="1" xfId="0" applyNumberFormat="1" applyFont="1" applyFill="1" applyBorder="1" applyAlignment="1" applyProtection="1">
      <alignment horizontal="center" vertical="center"/>
      <protection hidden="1"/>
    </xf>
    <xf numFmtId="164" fontId="6" fillId="5" borderId="1" xfId="0" applyNumberFormat="1" applyFont="1" applyFill="1" applyBorder="1" applyAlignment="1" applyProtection="1">
      <alignment horizontal="center" vertical="center"/>
      <protection hidden="1"/>
    </xf>
    <xf numFmtId="2" fontId="6" fillId="4" borderId="4" xfId="0" applyNumberFormat="1" applyFont="1" applyFill="1" applyBorder="1" applyAlignment="1" applyProtection="1">
      <alignment vertical="center"/>
      <protection hidden="1"/>
    </xf>
    <xf numFmtId="2" fontId="6" fillId="3" borderId="4" xfId="0" applyNumberFormat="1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horizontal="left" vertical="center"/>
      <protection hidden="1"/>
    </xf>
    <xf numFmtId="164" fontId="3" fillId="3" borderId="0" xfId="0" applyNumberFormat="1" applyFont="1" applyFill="1" applyBorder="1" applyAlignment="1" applyProtection="1">
      <alignment horizontal="left" vertical="center"/>
      <protection hidden="1"/>
    </xf>
    <xf numFmtId="1" fontId="3" fillId="3" borderId="0" xfId="0" applyNumberFormat="1" applyFont="1" applyFill="1" applyBorder="1" applyAlignment="1" applyProtection="1">
      <alignment horizontal="left" vertical="center"/>
      <protection hidden="1"/>
    </xf>
    <xf numFmtId="0" fontId="6" fillId="3" borderId="0" xfId="0" applyFont="1" applyFill="1" applyAlignment="1" applyProtection="1">
      <alignment vertical="top"/>
      <protection hidden="1"/>
    </xf>
    <xf numFmtId="0" fontId="7" fillId="3" borderId="0" xfId="0" applyFont="1" applyFill="1" applyAlignment="1" applyProtection="1">
      <alignment horizontal="left" vertical="center" wrapText="1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Protection="1">
      <protection hidden="1"/>
    </xf>
    <xf numFmtId="0" fontId="12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11" fillId="2" borderId="0" xfId="0" applyFont="1" applyFill="1" applyProtection="1">
      <protection hidden="1"/>
    </xf>
    <xf numFmtId="0" fontId="11" fillId="2" borderId="0" xfId="0" applyFont="1" applyFill="1" applyAlignment="1" applyProtection="1">
      <alignment horizontal="left" vertical="center"/>
      <protection hidden="1"/>
    </xf>
    <xf numFmtId="0" fontId="11" fillId="3" borderId="0" xfId="0" applyFont="1" applyFill="1" applyProtection="1">
      <protection hidden="1"/>
    </xf>
    <xf numFmtId="0" fontId="11" fillId="3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11" fillId="3" borderId="0" xfId="0" applyFont="1" applyFill="1"/>
    <xf numFmtId="2" fontId="10" fillId="2" borderId="0" xfId="0" applyNumberFormat="1" applyFont="1" applyFill="1" applyProtection="1"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2" fontId="6" fillId="3" borderId="4" xfId="0" applyNumberFormat="1" applyFont="1" applyFill="1" applyBorder="1" applyAlignment="1" applyProtection="1">
      <alignment horizontal="right" vertical="center"/>
      <protection hidden="1"/>
    </xf>
    <xf numFmtId="0" fontId="6" fillId="4" borderId="9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4" borderId="5" xfId="0" applyFont="1" applyFill="1" applyBorder="1" applyAlignment="1" applyProtection="1">
      <alignment vertic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4" borderId="5" xfId="0" applyFont="1" applyFill="1" applyBorder="1" applyAlignment="1" applyProtection="1">
      <alignment horizontal="left" vertical="center"/>
      <protection hidden="1"/>
    </xf>
    <xf numFmtId="0" fontId="7" fillId="4" borderId="5" xfId="0" applyFont="1" applyFill="1" applyBorder="1" applyAlignment="1" applyProtection="1">
      <alignment horizontal="left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0" fontId="6" fillId="3" borderId="4" xfId="0" applyFont="1" applyFill="1" applyBorder="1"/>
    <xf numFmtId="0" fontId="10" fillId="2" borderId="0" xfId="0" applyFont="1" applyFill="1" applyAlignment="1">
      <alignment vertical="center"/>
    </xf>
    <xf numFmtId="0" fontId="3" fillId="3" borderId="4" xfId="0" applyFont="1" applyFill="1" applyBorder="1" applyAlignment="1">
      <alignment vertical="center"/>
    </xf>
    <xf numFmtId="0" fontId="6" fillId="4" borderId="8" xfId="0" applyFont="1" applyFill="1" applyBorder="1" applyAlignment="1" applyProtection="1">
      <alignment horizontal="left" vertical="center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>
      <alignment vertical="center"/>
    </xf>
    <xf numFmtId="0" fontId="6" fillId="4" borderId="4" xfId="0" applyFont="1" applyFill="1" applyBorder="1"/>
    <xf numFmtId="0" fontId="6" fillId="3" borderId="12" xfId="0" applyFont="1" applyFill="1" applyBorder="1" applyAlignment="1" applyProtection="1">
      <alignment horizont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2" fontId="6" fillId="4" borderId="2" xfId="0" applyNumberFormat="1" applyFont="1" applyFill="1" applyBorder="1" applyAlignment="1" applyProtection="1">
      <alignment vertical="center"/>
      <protection hidden="1"/>
    </xf>
    <xf numFmtId="0" fontId="6" fillId="4" borderId="14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vertical="center"/>
      <protection hidden="1"/>
    </xf>
    <xf numFmtId="2" fontId="6" fillId="3" borderId="2" xfId="0" applyNumberFormat="1" applyFont="1" applyFill="1" applyBorder="1" applyAlignment="1" applyProtection="1">
      <alignment horizontal="right" vertical="center"/>
      <protection hidden="1"/>
    </xf>
    <xf numFmtId="0" fontId="6" fillId="3" borderId="14" xfId="0" applyFont="1" applyFill="1" applyBorder="1" applyAlignment="1" applyProtection="1">
      <alignment horizontal="left" vertical="center"/>
      <protection hidden="1"/>
    </xf>
    <xf numFmtId="0" fontId="3" fillId="4" borderId="2" xfId="0" applyFont="1" applyFill="1" applyBorder="1" applyAlignment="1">
      <alignment vertical="center"/>
    </xf>
    <xf numFmtId="2" fontId="6" fillId="4" borderId="2" xfId="0" applyNumberFormat="1" applyFont="1" applyFill="1" applyBorder="1" applyAlignment="1" applyProtection="1">
      <alignment horizontal="right" vertical="center"/>
      <protection hidden="1"/>
    </xf>
    <xf numFmtId="0" fontId="6" fillId="4" borderId="2" xfId="0" applyFont="1" applyFill="1" applyBorder="1"/>
    <xf numFmtId="165" fontId="6" fillId="6" borderId="1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left" vertical="center"/>
      <protection hidden="1"/>
    </xf>
    <xf numFmtId="0" fontId="3" fillId="3" borderId="4" xfId="0" applyFont="1" applyFill="1" applyBorder="1" applyAlignment="1" applyProtection="1">
      <alignment horizontal="left" vertical="center"/>
      <protection hidden="1"/>
    </xf>
    <xf numFmtId="0" fontId="0" fillId="2" borderId="0" xfId="0" applyFill="1"/>
    <xf numFmtId="2" fontId="6" fillId="5" borderId="1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right" vertical="center"/>
    </xf>
    <xf numFmtId="0" fontId="6" fillId="2" borderId="4" xfId="0" applyFont="1" applyFill="1" applyBorder="1"/>
    <xf numFmtId="0" fontId="3" fillId="2" borderId="4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/>
    <xf numFmtId="0" fontId="19" fillId="2" borderId="0" xfId="0" applyFont="1" applyFill="1"/>
    <xf numFmtId="0" fontId="19" fillId="2" borderId="0" xfId="0" applyFont="1" applyFill="1" applyAlignment="1">
      <alignment horizontal="right" vertical="center"/>
    </xf>
    <xf numFmtId="0" fontId="19" fillId="0" borderId="0" xfId="0" applyFont="1"/>
    <xf numFmtId="2" fontId="6" fillId="4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right"/>
      <protection hidden="1"/>
    </xf>
    <xf numFmtId="0" fontId="3" fillId="3" borderId="7" xfId="0" applyFont="1" applyFill="1" applyBorder="1" applyAlignment="1" applyProtection="1">
      <alignment horizontal="right"/>
      <protection hidden="1"/>
    </xf>
    <xf numFmtId="0" fontId="3" fillId="4" borderId="0" xfId="0" applyFont="1" applyFill="1" applyBorder="1" applyAlignment="1">
      <alignment horizontal="right" vertical="center"/>
    </xf>
    <xf numFmtId="0" fontId="14" fillId="3" borderId="0" xfId="0" applyFont="1" applyFill="1" applyAlignment="1" applyProtection="1">
      <alignment horizontal="right" vertical="top"/>
      <protection hidden="1"/>
    </xf>
    <xf numFmtId="0" fontId="13" fillId="3" borderId="0" xfId="0" applyFont="1" applyFill="1" applyAlignment="1" applyProtection="1">
      <alignment horizontal="right" vertical="top"/>
      <protection hidden="1"/>
    </xf>
    <xf numFmtId="0" fontId="17" fillId="3" borderId="0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vertical="center"/>
    </xf>
    <xf numFmtId="0" fontId="8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right" vertical="center"/>
      <protection hidden="1"/>
    </xf>
    <xf numFmtId="0" fontId="3" fillId="3" borderId="7" xfId="0" applyFont="1" applyFill="1" applyBorder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horizontal="right" vertical="top"/>
      <protection hidden="1"/>
    </xf>
    <xf numFmtId="0" fontId="13" fillId="3" borderId="0" xfId="0" applyFont="1" applyFill="1" applyBorder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right" vertical="top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right" vertical="top"/>
      <protection hidden="1"/>
    </xf>
    <xf numFmtId="16" fontId="6" fillId="4" borderId="4" xfId="0" applyNumberFormat="1" applyFont="1" applyFill="1" applyBorder="1" applyAlignment="1" applyProtection="1">
      <alignment horizontal="right" vertical="center"/>
      <protection hidden="1"/>
    </xf>
    <xf numFmtId="0" fontId="6" fillId="3" borderId="4" xfId="0" applyFont="1" applyFill="1" applyBorder="1" applyAlignment="1" applyProtection="1">
      <alignment horizontal="right" vertical="center"/>
      <protection hidden="1"/>
    </xf>
    <xf numFmtId="0" fontId="6" fillId="4" borderId="4" xfId="0" applyFont="1" applyFill="1" applyBorder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0" fontId="3" fillId="3" borderId="7" xfId="0" applyFont="1" applyFill="1" applyBorder="1" applyAlignment="1" applyProtection="1">
      <alignment horizontal="left" vertical="center"/>
      <protection hidden="1"/>
    </xf>
    <xf numFmtId="0" fontId="9" fillId="3" borderId="0" xfId="0" applyFont="1" applyFill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32</xdr:row>
      <xdr:rowOff>133351</xdr:rowOff>
    </xdr:from>
    <xdr:ext cx="5753100" cy="17049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19650" y="4953001"/>
          <a:ext cx="5753100" cy="1704974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r>
            <a:rPr lang="en-GB" sz="1000" b="1" i="0" u="sng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INSTRUCTIONS</a:t>
          </a:r>
          <a:br>
            <a:rPr lang="en-GB" sz="800" b="1" i="0" u="sng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br>
            <a:rPr lang="en-GB" sz="800" b="1" i="0" u="sng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en-GB" sz="8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Coaxial</a:t>
          </a:r>
          <a:r>
            <a:rPr lang="en-GB" sz="8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Length Calculator</a:t>
          </a:r>
          <a:r>
            <a:rPr lang="en-GB" sz="8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: </a:t>
          </a:r>
          <a:r>
            <a:rPr lang="en-GB" sz="800">
              <a:latin typeface="Arial" pitchFamily="34" charset="0"/>
              <a:cs typeface="Arial" pitchFamily="34" charset="0"/>
            </a:rPr>
            <a:t>Enter the velocity factor</a:t>
          </a:r>
          <a:r>
            <a:rPr lang="en-GB" sz="800" baseline="0">
              <a:latin typeface="Arial" pitchFamily="34" charset="0"/>
              <a:cs typeface="Arial" pitchFamily="34" charset="0"/>
            </a:rPr>
            <a:t> </a:t>
          </a:r>
          <a:r>
            <a:rPr lang="en-GB" sz="800">
              <a:latin typeface="Arial" pitchFamily="34" charset="0"/>
              <a:cs typeface="Arial" pitchFamily="34" charset="0"/>
            </a:rPr>
            <a:t>as given in the</a:t>
          </a:r>
          <a:r>
            <a:rPr lang="en-GB" sz="800" baseline="0">
              <a:latin typeface="Arial" pitchFamily="34" charset="0"/>
              <a:cs typeface="Arial" pitchFamily="34" charset="0"/>
            </a:rPr>
            <a:t> table above </a:t>
          </a:r>
          <a:r>
            <a:rPr lang="en-GB" sz="800">
              <a:latin typeface="Arial" pitchFamily="34" charset="0"/>
              <a:cs typeface="Arial" pitchFamily="34" charset="0"/>
            </a:rPr>
            <a:t>and the desired frequency in MHz (e.g. 50.150) in the blue boxes then press the enter/return key. The results will be calculated for you. </a:t>
          </a:r>
          <a:r>
            <a:rPr lang="en-GB" sz="800" u="none">
              <a:latin typeface="Arial" pitchFamily="34" charset="0"/>
              <a:cs typeface="Arial" pitchFamily="34" charset="0"/>
            </a:rPr>
            <a:t>Use </a:t>
          </a:r>
          <a:r>
            <a:rPr lang="en-GB" sz="800" i="0" u="none">
              <a:latin typeface="Arial" pitchFamily="34" charset="0"/>
              <a:cs typeface="Arial" pitchFamily="34" charset="0"/>
            </a:rPr>
            <a:t>the </a:t>
          </a:r>
          <a:r>
            <a:rPr lang="en-GB" sz="800" b="0" i="0" u="none">
              <a:latin typeface="Arial" pitchFamily="34" charset="0"/>
              <a:cs typeface="Arial" pitchFamily="34" charset="0"/>
            </a:rPr>
            <a:t>'Multiple 1/2 Wavelengths' </a:t>
          </a:r>
          <a:r>
            <a:rPr lang="en-GB" sz="800">
              <a:latin typeface="Arial" pitchFamily="34" charset="0"/>
              <a:cs typeface="Arial" pitchFamily="34" charset="0"/>
            </a:rPr>
            <a:t>table to determine the most suitable length. The final cable length should end with an odd 1/4 wavelength which will act as an impedance transformer to achieve resonance. </a:t>
          </a:r>
          <a:r>
            <a:rPr lang="en-GB" sz="800" b="1">
              <a:latin typeface="Arial" pitchFamily="34" charset="0"/>
              <a:cs typeface="Arial" pitchFamily="34" charset="0"/>
            </a:rPr>
            <a:t>Note: </a:t>
          </a:r>
          <a:r>
            <a:rPr lang="en-GB" sz="800" b="0">
              <a:latin typeface="Arial" pitchFamily="34" charset="0"/>
              <a:cs typeface="Arial" pitchFamily="34" charset="0"/>
            </a:rPr>
            <a:t>Enter</a:t>
          </a:r>
          <a:r>
            <a:rPr lang="en-GB" sz="800" b="0" baseline="0">
              <a:latin typeface="Arial" pitchFamily="34" charset="0"/>
              <a:cs typeface="Arial" pitchFamily="34" charset="0"/>
            </a:rPr>
            <a:t> </a:t>
          </a:r>
          <a:r>
            <a:rPr lang="en-GB" sz="800" b="1" u="sng" baseline="0">
              <a:latin typeface="Arial" pitchFamily="34" charset="0"/>
              <a:cs typeface="Arial" pitchFamily="34" charset="0"/>
            </a:rPr>
            <a:t>0.92</a:t>
          </a:r>
          <a:r>
            <a:rPr lang="en-GB" sz="800" b="0" baseline="0">
              <a:latin typeface="Arial" pitchFamily="34" charset="0"/>
              <a:cs typeface="Arial" pitchFamily="34" charset="0"/>
            </a:rPr>
            <a:t> in Velocity Factor input box to calculate aerial lengths for any frequency. Ideal for making dipoles etc...</a:t>
          </a:r>
        </a:p>
        <a:p>
          <a:pPr algn="l"/>
          <a:br>
            <a:rPr lang="en-GB" sz="800" b="1" i="0">
              <a:latin typeface="Arial" pitchFamily="34" charset="0"/>
              <a:cs typeface="Arial" pitchFamily="34" charset="0"/>
            </a:rPr>
          </a:br>
          <a:r>
            <a:rPr lang="en-GB" sz="800" b="1" i="0">
              <a:latin typeface="Arial" pitchFamily="34" charset="0"/>
              <a:cs typeface="Arial" pitchFamily="34" charset="0"/>
            </a:rPr>
            <a:t>Coaxial Loss Calculator:</a:t>
          </a:r>
          <a:r>
            <a:rPr lang="en-GB" sz="800" b="1" i="1">
              <a:latin typeface="Arial" pitchFamily="34" charset="0"/>
              <a:cs typeface="Arial" pitchFamily="34" charset="0"/>
            </a:rPr>
            <a:t> </a:t>
          </a:r>
          <a:r>
            <a:rPr lang="en-GB" sz="800" b="0" i="0">
              <a:latin typeface="Arial" pitchFamily="34" charset="0"/>
              <a:cs typeface="Arial" pitchFamily="34" charset="0"/>
            </a:rPr>
            <a:t>Enter</a:t>
          </a:r>
          <a:r>
            <a:rPr lang="en-GB" sz="800" b="0" i="0" baseline="0">
              <a:latin typeface="Arial" pitchFamily="34" charset="0"/>
              <a:cs typeface="Arial" pitchFamily="34" charset="0"/>
            </a:rPr>
            <a:t> coaxial length and loss per 100m as given in the table above. You can use this calculator f</a:t>
          </a:r>
          <a:r>
            <a:rPr lang="en-GB" sz="800">
              <a:latin typeface="Arial" pitchFamily="34" charset="0"/>
              <a:cs typeface="Arial" pitchFamily="34" charset="0"/>
            </a:rPr>
            <a:t>or any cable</a:t>
          </a:r>
          <a:r>
            <a:rPr lang="en-GB" sz="800" baseline="0">
              <a:latin typeface="Arial" pitchFamily="34" charset="0"/>
              <a:cs typeface="Arial" pitchFamily="34" charset="0"/>
            </a:rPr>
            <a:t> not specified in the table above providing  you have the loss data per 100m for  the desired frequency.</a:t>
          </a:r>
        </a:p>
        <a:p>
          <a:pPr algn="l"/>
          <a:br>
            <a:rPr lang="en-GB" sz="800" baseline="0">
              <a:latin typeface="Arial" pitchFamily="34" charset="0"/>
              <a:cs typeface="Arial" pitchFamily="34" charset="0"/>
            </a:rPr>
          </a:br>
          <a:br>
            <a:rPr lang="en-GB" sz="800" baseline="0">
              <a:latin typeface="Arial" pitchFamily="34" charset="0"/>
              <a:cs typeface="Arial" pitchFamily="34" charset="0"/>
            </a:rPr>
          </a:br>
          <a:r>
            <a:rPr lang="en-GB" sz="800" b="1" i="1" baseline="0">
              <a:latin typeface="Arial" pitchFamily="34" charset="0"/>
              <a:cs typeface="Arial" pitchFamily="34" charset="0"/>
            </a:rPr>
            <a:t>Thanks to Ted G6ODA, Prem G0DCP &amp; Rob M0HVC for their valuable input.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AA67"/>
  <sheetViews>
    <sheetView tabSelected="1" zoomScaleNormal="100" workbookViewId="0">
      <selection activeCell="N4" sqref="N4"/>
    </sheetView>
  </sheetViews>
  <sheetFormatPr defaultRowHeight="15" x14ac:dyDescent="0.25"/>
  <cols>
    <col min="1" max="1" width="1.42578125" customWidth="1"/>
    <col min="2" max="2" width="17.140625" customWidth="1"/>
    <col min="3" max="3" width="8.140625" customWidth="1"/>
    <col min="4" max="4" width="5.85546875" customWidth="1"/>
    <col min="5" max="6" width="6.85546875" customWidth="1"/>
    <col min="7" max="8" width="7.85546875" bestFit="1" customWidth="1"/>
    <col min="9" max="9" width="8.85546875" bestFit="1" customWidth="1"/>
    <col min="10" max="10" width="1.42578125" customWidth="1"/>
    <col min="13" max="13" width="13" customWidth="1"/>
    <col min="15" max="15" width="5.42578125" bestFit="1" customWidth="1"/>
    <col min="16" max="16" width="1.42578125" customWidth="1"/>
    <col min="17" max="17" width="3" bestFit="1" customWidth="1"/>
    <col min="18" max="18" width="7.42578125" bestFit="1" customWidth="1"/>
    <col min="19" max="19" width="2.5703125" bestFit="1" customWidth="1"/>
    <col min="20" max="20" width="3" bestFit="1" customWidth="1"/>
    <col min="21" max="21" width="7.42578125" bestFit="1" customWidth="1"/>
    <col min="22" max="22" width="2.5703125" bestFit="1" customWidth="1"/>
    <col min="23" max="23" width="3" bestFit="1" customWidth="1"/>
    <col min="24" max="24" width="7.42578125" bestFit="1" customWidth="1"/>
    <col min="25" max="25" width="2.5703125" bestFit="1" customWidth="1"/>
    <col min="26" max="26" width="1.42578125" customWidth="1"/>
  </cols>
  <sheetData>
    <row r="1" spans="1:26" ht="8.1" customHeight="1" x14ac:dyDescent="0.25">
      <c r="A1" s="27"/>
      <c r="B1" s="27"/>
      <c r="C1" s="28"/>
      <c r="D1" s="28"/>
      <c r="E1" s="28"/>
      <c r="F1" s="28"/>
      <c r="G1" s="28"/>
      <c r="H1" s="28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59"/>
      <c r="X1" s="27"/>
      <c r="Y1" s="27"/>
      <c r="Z1" s="27"/>
    </row>
    <row r="2" spans="1:26" ht="12" customHeight="1" x14ac:dyDescent="0.25">
      <c r="A2" s="1"/>
      <c r="B2" s="56" t="s">
        <v>27</v>
      </c>
      <c r="C2" s="56" t="s">
        <v>13</v>
      </c>
      <c r="D2" s="56" t="s">
        <v>20</v>
      </c>
      <c r="E2" s="107" t="s">
        <v>26</v>
      </c>
      <c r="F2" s="108"/>
      <c r="G2" s="108"/>
      <c r="H2" s="108"/>
      <c r="I2" s="108"/>
      <c r="J2" s="1"/>
      <c r="K2" s="109" t="s">
        <v>19</v>
      </c>
      <c r="L2" s="109"/>
      <c r="M2" s="109"/>
      <c r="N2" s="109"/>
      <c r="O2" s="109"/>
      <c r="P2" s="1"/>
      <c r="Q2" s="104" t="s">
        <v>68</v>
      </c>
      <c r="R2" s="104"/>
      <c r="S2" s="104"/>
      <c r="T2" s="104"/>
      <c r="U2" s="104"/>
      <c r="V2" s="104"/>
      <c r="W2" s="104"/>
      <c r="X2" s="104"/>
      <c r="Y2" s="104"/>
      <c r="Z2" s="1"/>
    </row>
    <row r="3" spans="1:26" ht="12" customHeight="1" thickBot="1" x14ac:dyDescent="0.3">
      <c r="A3" s="27"/>
      <c r="B3" s="65"/>
      <c r="C3" s="65"/>
      <c r="D3" s="65"/>
      <c r="E3" s="66" t="s">
        <v>22</v>
      </c>
      <c r="F3" s="67" t="s">
        <v>21</v>
      </c>
      <c r="G3" s="67" t="s">
        <v>23</v>
      </c>
      <c r="H3" s="67" t="s">
        <v>24</v>
      </c>
      <c r="I3" s="67" t="s">
        <v>25</v>
      </c>
      <c r="J3" s="27"/>
      <c r="K3" s="110"/>
      <c r="L3" s="110"/>
      <c r="M3" s="110"/>
      <c r="N3" s="110"/>
      <c r="O3" s="110"/>
      <c r="P3" s="27"/>
      <c r="Q3" s="105"/>
      <c r="R3" s="105"/>
      <c r="S3" s="105"/>
      <c r="T3" s="105"/>
      <c r="U3" s="105"/>
      <c r="V3" s="105"/>
      <c r="W3" s="105"/>
      <c r="X3" s="105"/>
      <c r="Y3" s="105"/>
      <c r="Z3" s="27"/>
    </row>
    <row r="4" spans="1:26" ht="12" customHeight="1" thickTop="1" x14ac:dyDescent="0.25">
      <c r="A4" s="30"/>
      <c r="B4" s="61" t="s">
        <v>55</v>
      </c>
      <c r="C4" s="62">
        <v>39.799999999999997</v>
      </c>
      <c r="D4" s="62">
        <v>0.89</v>
      </c>
      <c r="E4" s="62">
        <v>0.5</v>
      </c>
      <c r="F4" s="62" t="s">
        <v>54</v>
      </c>
      <c r="G4" s="62">
        <v>0.9</v>
      </c>
      <c r="H4" s="62">
        <v>1.7</v>
      </c>
      <c r="I4" s="62">
        <v>3</v>
      </c>
      <c r="J4" s="31"/>
      <c r="K4" s="100" t="s">
        <v>35</v>
      </c>
      <c r="L4" s="100"/>
      <c r="M4" s="101"/>
      <c r="N4" s="4">
        <v>0.87</v>
      </c>
      <c r="O4" s="57"/>
      <c r="P4" s="30"/>
      <c r="Q4" s="68">
        <v>2</v>
      </c>
      <c r="R4" s="69">
        <f>N10*2</f>
        <v>5.2007864099700907</v>
      </c>
      <c r="S4" s="70" t="s">
        <v>0</v>
      </c>
      <c r="T4" s="71">
        <v>31</v>
      </c>
      <c r="U4" s="72">
        <f>N10*31</f>
        <v>80.612189354536412</v>
      </c>
      <c r="V4" s="73" t="s">
        <v>0</v>
      </c>
      <c r="W4" s="74">
        <v>60</v>
      </c>
      <c r="X4" s="75">
        <f>N10*60</f>
        <v>156.02359229910272</v>
      </c>
      <c r="Y4" s="76" t="s">
        <v>0</v>
      </c>
      <c r="Z4" s="30"/>
    </row>
    <row r="5" spans="1:26" ht="12" customHeight="1" x14ac:dyDescent="0.25">
      <c r="A5" s="27"/>
      <c r="B5" s="51" t="s">
        <v>18</v>
      </c>
      <c r="C5" s="47">
        <v>39.6</v>
      </c>
      <c r="D5" s="47">
        <v>0.92</v>
      </c>
      <c r="E5" s="47">
        <v>0.56999999999999995</v>
      </c>
      <c r="F5" s="47">
        <v>0.68</v>
      </c>
      <c r="G5" s="47">
        <v>0.99</v>
      </c>
      <c r="H5" s="47">
        <v>1.79</v>
      </c>
      <c r="I5" s="52">
        <v>3.3</v>
      </c>
      <c r="J5" s="32"/>
      <c r="K5" s="5"/>
      <c r="L5" s="5"/>
      <c r="M5" s="5"/>
      <c r="N5" s="5"/>
      <c r="O5" s="6"/>
      <c r="P5" s="27"/>
      <c r="Q5" s="26">
        <v>3</v>
      </c>
      <c r="R5" s="16">
        <f>N10*3</f>
        <v>7.801179614955136</v>
      </c>
      <c r="S5" s="43" t="s">
        <v>0</v>
      </c>
      <c r="T5" s="18">
        <v>32</v>
      </c>
      <c r="U5" s="8">
        <f>N10*32</f>
        <v>83.212582559521451</v>
      </c>
      <c r="V5" s="42" t="s">
        <v>0</v>
      </c>
      <c r="W5" s="60">
        <v>61</v>
      </c>
      <c r="X5" s="41">
        <f>N10*61</f>
        <v>158.62398550408776</v>
      </c>
      <c r="Y5" s="58" t="s">
        <v>0</v>
      </c>
      <c r="Z5" s="27"/>
    </row>
    <row r="6" spans="1:26" ht="12" customHeight="1" x14ac:dyDescent="0.25">
      <c r="A6" s="27"/>
      <c r="B6" s="53" t="s">
        <v>51</v>
      </c>
      <c r="C6" s="49">
        <v>27.7</v>
      </c>
      <c r="D6" s="49">
        <v>0.88</v>
      </c>
      <c r="E6" s="49">
        <v>0.8</v>
      </c>
      <c r="F6" s="49" t="s">
        <v>52</v>
      </c>
      <c r="G6" s="49">
        <v>1.4</v>
      </c>
      <c r="H6" s="49">
        <v>2.5</v>
      </c>
      <c r="I6" s="49">
        <v>4.4000000000000004</v>
      </c>
      <c r="J6" s="32"/>
      <c r="K6" s="100" t="s">
        <v>36</v>
      </c>
      <c r="L6" s="100"/>
      <c r="M6" s="101"/>
      <c r="N6" s="77">
        <v>50.15</v>
      </c>
      <c r="O6" s="57"/>
      <c r="P6" s="27"/>
      <c r="Q6" s="25">
        <v>4</v>
      </c>
      <c r="R6" s="15">
        <f>N10*4</f>
        <v>10.401572819940181</v>
      </c>
      <c r="S6" s="42" t="s">
        <v>0</v>
      </c>
      <c r="T6" s="19">
        <v>33</v>
      </c>
      <c r="U6" s="41">
        <f>N10*33</f>
        <v>85.81297576450649</v>
      </c>
      <c r="V6" s="43" t="s">
        <v>0</v>
      </c>
      <c r="W6" s="63">
        <v>62</v>
      </c>
      <c r="X6" s="8">
        <f>N10*62</f>
        <v>161.22437870907282</v>
      </c>
      <c r="Y6" s="64" t="s">
        <v>0</v>
      </c>
      <c r="Z6" s="27"/>
    </row>
    <row r="7" spans="1:26" ht="12" customHeight="1" x14ac:dyDescent="0.25">
      <c r="A7" s="27"/>
      <c r="B7" s="51" t="s">
        <v>15</v>
      </c>
      <c r="C7" s="47">
        <v>28</v>
      </c>
      <c r="D7" s="47">
        <v>0.91</v>
      </c>
      <c r="E7" s="47">
        <v>0.8</v>
      </c>
      <c r="F7" s="47">
        <v>1.1000000000000001</v>
      </c>
      <c r="G7" s="47">
        <v>1.4</v>
      </c>
      <c r="H7" s="47">
        <v>2.5</v>
      </c>
      <c r="I7" s="52">
        <v>4.5</v>
      </c>
      <c r="J7" s="32"/>
      <c r="K7" s="111" t="s">
        <v>38</v>
      </c>
      <c r="L7" s="111"/>
      <c r="M7" s="111"/>
      <c r="N7" s="17"/>
      <c r="O7" s="7"/>
      <c r="P7" s="27"/>
      <c r="Q7" s="26">
        <v>5</v>
      </c>
      <c r="R7" s="16">
        <f>N10*5</f>
        <v>13.001966024925228</v>
      </c>
      <c r="S7" s="43" t="s">
        <v>0</v>
      </c>
      <c r="T7" s="18">
        <v>34</v>
      </c>
      <c r="U7" s="8">
        <f>N10*34</f>
        <v>88.413368969491543</v>
      </c>
      <c r="V7" s="42" t="s">
        <v>0</v>
      </c>
      <c r="W7" s="60">
        <v>63</v>
      </c>
      <c r="X7" s="41">
        <f>N10*63</f>
        <v>163.82477191405786</v>
      </c>
      <c r="Y7" s="58" t="s">
        <v>0</v>
      </c>
      <c r="Z7" s="27"/>
    </row>
    <row r="8" spans="1:26" ht="12" customHeight="1" x14ac:dyDescent="0.25">
      <c r="A8" s="27"/>
      <c r="B8" s="48" t="s">
        <v>3</v>
      </c>
      <c r="C8" s="49">
        <v>17.3</v>
      </c>
      <c r="D8" s="49">
        <v>0.87</v>
      </c>
      <c r="E8" s="49">
        <v>1.2</v>
      </c>
      <c r="F8" s="49">
        <v>1.5</v>
      </c>
      <c r="G8" s="49">
        <v>2.1</v>
      </c>
      <c r="H8" s="49">
        <v>3.8</v>
      </c>
      <c r="I8" s="50">
        <v>6.8</v>
      </c>
      <c r="J8" s="32"/>
      <c r="K8" s="112" t="s">
        <v>63</v>
      </c>
      <c r="L8" s="112"/>
      <c r="M8" s="112"/>
      <c r="N8" s="78">
        <f>299.792458/N6*N4</f>
        <v>5.2007864099700907</v>
      </c>
      <c r="O8" s="80" t="s">
        <v>0</v>
      </c>
      <c r="P8" s="27"/>
      <c r="Q8" s="25">
        <v>6</v>
      </c>
      <c r="R8" s="15">
        <f>N10*6</f>
        <v>15.602359229910272</v>
      </c>
      <c r="S8" s="42" t="s">
        <v>0</v>
      </c>
      <c r="T8" s="19">
        <v>35</v>
      </c>
      <c r="U8" s="41">
        <f>N10*35</f>
        <v>91.013762174476582</v>
      </c>
      <c r="V8" s="43" t="s">
        <v>0</v>
      </c>
      <c r="W8" s="63">
        <v>64</v>
      </c>
      <c r="X8" s="8">
        <f>N10*64</f>
        <v>166.4251651190429</v>
      </c>
      <c r="Y8" s="64" t="s">
        <v>0</v>
      </c>
      <c r="Z8" s="27"/>
    </row>
    <row r="9" spans="1:26" ht="12" customHeight="1" x14ac:dyDescent="0.25">
      <c r="A9" s="27"/>
      <c r="B9" s="45" t="s">
        <v>48</v>
      </c>
      <c r="C9" s="44">
        <v>15.4</v>
      </c>
      <c r="D9" s="44">
        <v>0.88</v>
      </c>
      <c r="E9" s="44">
        <v>1.5</v>
      </c>
      <c r="F9" s="44" t="s">
        <v>49</v>
      </c>
      <c r="G9" s="44">
        <v>2.6</v>
      </c>
      <c r="H9" s="44">
        <v>4.5999999999999996</v>
      </c>
      <c r="I9" s="44">
        <v>8</v>
      </c>
      <c r="J9" s="32"/>
      <c r="K9" s="113" t="s">
        <v>64</v>
      </c>
      <c r="L9" s="113"/>
      <c r="M9" s="113"/>
      <c r="N9" s="79">
        <f>N12*5</f>
        <v>3.2504915062313069</v>
      </c>
      <c r="O9" s="81" t="s">
        <v>0</v>
      </c>
      <c r="P9" s="27"/>
      <c r="Q9" s="26">
        <v>7</v>
      </c>
      <c r="R9" s="16">
        <f>N10*7</f>
        <v>18.202752434895316</v>
      </c>
      <c r="S9" s="43" t="s">
        <v>0</v>
      </c>
      <c r="T9" s="18">
        <v>36</v>
      </c>
      <c r="U9" s="8">
        <f>N10*36</f>
        <v>93.614155379461636</v>
      </c>
      <c r="V9" s="42" t="s">
        <v>0</v>
      </c>
      <c r="W9" s="60">
        <v>65</v>
      </c>
      <c r="X9" s="41">
        <f>N10*65</f>
        <v>169.02555832402794</v>
      </c>
      <c r="Y9" s="58" t="s">
        <v>0</v>
      </c>
      <c r="Z9" s="27"/>
    </row>
    <row r="10" spans="1:26" ht="12" customHeight="1" x14ac:dyDescent="0.25">
      <c r="A10" s="27"/>
      <c r="B10" s="48" t="s">
        <v>16</v>
      </c>
      <c r="C10" s="49">
        <v>15.9</v>
      </c>
      <c r="D10" s="49">
        <v>0.88</v>
      </c>
      <c r="E10" s="49">
        <v>1.5</v>
      </c>
      <c r="F10" s="49">
        <v>1.8</v>
      </c>
      <c r="G10" s="49">
        <v>2.5</v>
      </c>
      <c r="H10" s="49">
        <v>4</v>
      </c>
      <c r="I10" s="50">
        <v>8.3000000000000007</v>
      </c>
      <c r="J10" s="32"/>
      <c r="K10" s="114" t="s">
        <v>65</v>
      </c>
      <c r="L10" s="114"/>
      <c r="M10" s="114"/>
      <c r="N10" s="78">
        <f>N8/2</f>
        <v>2.6003932049850453</v>
      </c>
      <c r="O10" s="80" t="s">
        <v>0</v>
      </c>
      <c r="P10" s="27"/>
      <c r="Q10" s="25">
        <v>8</v>
      </c>
      <c r="R10" s="15">
        <f>N10*8</f>
        <v>20.803145639880363</v>
      </c>
      <c r="S10" s="42" t="s">
        <v>0</v>
      </c>
      <c r="T10" s="19">
        <v>37</v>
      </c>
      <c r="U10" s="41">
        <f>N10*37</f>
        <v>96.214548584446675</v>
      </c>
      <c r="V10" s="43" t="s">
        <v>0</v>
      </c>
      <c r="W10" s="63">
        <v>66</v>
      </c>
      <c r="X10" s="8">
        <f>N10*66</f>
        <v>171.62595152901298</v>
      </c>
      <c r="Y10" s="64" t="s">
        <v>0</v>
      </c>
      <c r="Z10" s="27"/>
    </row>
    <row r="11" spans="1:26" ht="12" customHeight="1" x14ac:dyDescent="0.25">
      <c r="A11" s="27"/>
      <c r="B11" s="51" t="s">
        <v>1</v>
      </c>
      <c r="C11" s="47">
        <v>15</v>
      </c>
      <c r="D11" s="47">
        <v>0.87</v>
      </c>
      <c r="E11" s="47">
        <v>1.8</v>
      </c>
      <c r="F11" s="47">
        <v>2.1</v>
      </c>
      <c r="G11" s="47">
        <v>3.1</v>
      </c>
      <c r="H11" s="47">
        <v>5.5</v>
      </c>
      <c r="I11" s="52">
        <v>10</v>
      </c>
      <c r="J11" s="32"/>
      <c r="K11" s="113" t="s">
        <v>66</v>
      </c>
      <c r="L11" s="113"/>
      <c r="M11" s="113"/>
      <c r="N11" s="79">
        <f>N8/4</f>
        <v>1.3001966024925227</v>
      </c>
      <c r="O11" s="81" t="s">
        <v>0</v>
      </c>
      <c r="P11" s="27"/>
      <c r="Q11" s="26">
        <v>9</v>
      </c>
      <c r="R11" s="16">
        <f>N10*9</f>
        <v>23.403538844865409</v>
      </c>
      <c r="S11" s="43" t="s">
        <v>0</v>
      </c>
      <c r="T11" s="18">
        <v>38</v>
      </c>
      <c r="U11" s="8">
        <f>N10*38</f>
        <v>98.814941789431728</v>
      </c>
      <c r="V11" s="42" t="s">
        <v>0</v>
      </c>
      <c r="W11" s="60">
        <v>67</v>
      </c>
      <c r="X11" s="41">
        <f>N10*67</f>
        <v>174.22634473399805</v>
      </c>
      <c r="Y11" s="58" t="s">
        <v>0</v>
      </c>
      <c r="Z11" s="27"/>
    </row>
    <row r="12" spans="1:26" ht="12" customHeight="1" x14ac:dyDescent="0.25">
      <c r="A12" s="27"/>
      <c r="B12" s="54" t="s">
        <v>46</v>
      </c>
      <c r="C12" s="55">
        <v>14.6</v>
      </c>
      <c r="D12" s="55">
        <v>0.86</v>
      </c>
      <c r="E12" s="55">
        <v>1.9</v>
      </c>
      <c r="F12" s="55" t="s">
        <v>47</v>
      </c>
      <c r="G12" s="55">
        <v>3.2</v>
      </c>
      <c r="H12" s="49">
        <v>5.8</v>
      </c>
      <c r="I12" s="49">
        <v>10.5</v>
      </c>
      <c r="J12" s="32"/>
      <c r="K12" s="114" t="s">
        <v>67</v>
      </c>
      <c r="L12" s="114"/>
      <c r="M12" s="114"/>
      <c r="N12" s="78">
        <f>N8/8</f>
        <v>0.65009830124626133</v>
      </c>
      <c r="O12" s="80" t="s">
        <v>0</v>
      </c>
      <c r="P12" s="27"/>
      <c r="Q12" s="25">
        <v>10</v>
      </c>
      <c r="R12" s="15">
        <f>N10*10</f>
        <v>26.003932049850455</v>
      </c>
      <c r="S12" s="42" t="s">
        <v>0</v>
      </c>
      <c r="T12" s="19">
        <v>39</v>
      </c>
      <c r="U12" s="41">
        <f>N10*39</f>
        <v>101.41533499441677</v>
      </c>
      <c r="V12" s="43" t="s">
        <v>0</v>
      </c>
      <c r="W12" s="63">
        <v>68</v>
      </c>
      <c r="X12" s="8">
        <f>N10*68</f>
        <v>176.82673793898309</v>
      </c>
      <c r="Y12" s="64" t="s">
        <v>0</v>
      </c>
      <c r="Z12" s="27"/>
    </row>
    <row r="13" spans="1:26" ht="12" customHeight="1" x14ac:dyDescent="0.25">
      <c r="A13" s="27"/>
      <c r="B13" s="51" t="s">
        <v>5</v>
      </c>
      <c r="C13" s="47">
        <v>14.6</v>
      </c>
      <c r="D13" s="47">
        <v>0.86</v>
      </c>
      <c r="E13" s="47">
        <v>2</v>
      </c>
      <c r="F13" s="47">
        <v>2.4</v>
      </c>
      <c r="G13" s="47">
        <v>3.4</v>
      </c>
      <c r="H13" s="47">
        <v>6.1</v>
      </c>
      <c r="I13" s="52">
        <v>11.4</v>
      </c>
      <c r="J13" s="32"/>
      <c r="K13" s="33"/>
      <c r="L13" s="33"/>
      <c r="M13" s="33"/>
      <c r="N13" s="33"/>
      <c r="O13" s="34"/>
      <c r="P13" s="27"/>
      <c r="Q13" s="26">
        <v>11</v>
      </c>
      <c r="R13" s="16">
        <f>N10*11</f>
        <v>28.604325254835498</v>
      </c>
      <c r="S13" s="43" t="s">
        <v>0</v>
      </c>
      <c r="T13" s="18">
        <v>40</v>
      </c>
      <c r="U13" s="8">
        <f>N10*40</f>
        <v>104.01572819940182</v>
      </c>
      <c r="V13" s="42" t="s">
        <v>0</v>
      </c>
      <c r="W13" s="60">
        <v>69</v>
      </c>
      <c r="X13" s="41">
        <f>N10*69</f>
        <v>179.42713114396813</v>
      </c>
      <c r="Y13" s="58" t="s">
        <v>0</v>
      </c>
      <c r="Z13" s="27"/>
    </row>
    <row r="14" spans="1:26" ht="12" customHeight="1" x14ac:dyDescent="0.25">
      <c r="A14" s="27"/>
      <c r="B14" s="48" t="s">
        <v>74</v>
      </c>
      <c r="C14" s="49">
        <v>12.7</v>
      </c>
      <c r="D14" s="49">
        <v>0.86</v>
      </c>
      <c r="E14" s="49">
        <v>2.1</v>
      </c>
      <c r="F14" s="49">
        <v>2.5</v>
      </c>
      <c r="G14" s="49">
        <v>3.6</v>
      </c>
      <c r="H14" s="49">
        <v>6.6</v>
      </c>
      <c r="I14" s="50">
        <v>11.7</v>
      </c>
      <c r="J14" s="32"/>
      <c r="K14" s="99" t="s">
        <v>30</v>
      </c>
      <c r="L14" s="99"/>
      <c r="M14" s="99"/>
      <c r="N14" s="99"/>
      <c r="O14" s="99"/>
      <c r="P14" s="27"/>
      <c r="Q14" s="25">
        <v>12</v>
      </c>
      <c r="R14" s="15">
        <f>N10*12</f>
        <v>31.204718459820544</v>
      </c>
      <c r="S14" s="42" t="s">
        <v>0</v>
      </c>
      <c r="T14" s="19">
        <v>41</v>
      </c>
      <c r="U14" s="41">
        <f>N10*41</f>
        <v>106.61612140438686</v>
      </c>
      <c r="V14" s="43" t="s">
        <v>0</v>
      </c>
      <c r="W14" s="63">
        <v>70</v>
      </c>
      <c r="X14" s="8">
        <f>N10*70</f>
        <v>182.02752434895316</v>
      </c>
      <c r="Y14" s="64" t="s">
        <v>0</v>
      </c>
      <c r="Z14" s="27"/>
    </row>
    <row r="15" spans="1:26" ht="12" customHeight="1" x14ac:dyDescent="0.25">
      <c r="A15" s="27"/>
      <c r="B15" s="51" t="s">
        <v>73</v>
      </c>
      <c r="C15" s="47">
        <v>12.7</v>
      </c>
      <c r="D15" s="47">
        <v>0.86</v>
      </c>
      <c r="E15" s="47">
        <v>2.1</v>
      </c>
      <c r="F15" s="47">
        <v>2.6</v>
      </c>
      <c r="G15" s="47">
        <v>3.9</v>
      </c>
      <c r="H15" s="47">
        <v>7</v>
      </c>
      <c r="I15" s="52">
        <v>12.5</v>
      </c>
      <c r="J15" s="32"/>
      <c r="K15" s="35"/>
      <c r="L15" s="35"/>
      <c r="M15" s="35"/>
      <c r="N15" s="35"/>
      <c r="O15" s="36"/>
      <c r="P15" s="27"/>
      <c r="Q15" s="26">
        <v>13</v>
      </c>
      <c r="R15" s="16">
        <f>N10*13</f>
        <v>33.805111664805587</v>
      </c>
      <c r="S15" s="43" t="s">
        <v>0</v>
      </c>
      <c r="T15" s="18">
        <v>42</v>
      </c>
      <c r="U15" s="8">
        <f>N10*42</f>
        <v>109.2165146093719</v>
      </c>
      <c r="V15" s="42" t="s">
        <v>0</v>
      </c>
      <c r="W15" s="60">
        <v>71</v>
      </c>
      <c r="X15" s="41">
        <f>N10*71</f>
        <v>184.62791755393823</v>
      </c>
      <c r="Y15" s="58" t="s">
        <v>0</v>
      </c>
      <c r="Z15" s="27"/>
    </row>
    <row r="16" spans="1:26" ht="12" customHeight="1" x14ac:dyDescent="0.25">
      <c r="A16" s="27"/>
      <c r="B16" s="48" t="s">
        <v>71</v>
      </c>
      <c r="C16" s="49">
        <v>12.7</v>
      </c>
      <c r="D16" s="49">
        <v>0.86</v>
      </c>
      <c r="E16" s="49">
        <v>2.2999999999999998</v>
      </c>
      <c r="F16" s="49">
        <v>2.7</v>
      </c>
      <c r="G16" s="49">
        <v>3.9</v>
      </c>
      <c r="H16" s="49">
        <v>7</v>
      </c>
      <c r="I16" s="50">
        <v>12.5</v>
      </c>
      <c r="J16" s="32"/>
      <c r="K16" s="115" t="s">
        <v>37</v>
      </c>
      <c r="L16" s="115"/>
      <c r="M16" s="116"/>
      <c r="N16" s="4">
        <v>19.5</v>
      </c>
      <c r="O16" s="20" t="s">
        <v>0</v>
      </c>
      <c r="P16" s="27"/>
      <c r="Q16" s="25">
        <v>14</v>
      </c>
      <c r="R16" s="15">
        <f>N10*14</f>
        <v>36.405504869790633</v>
      </c>
      <c r="S16" s="42" t="s">
        <v>0</v>
      </c>
      <c r="T16" s="19">
        <v>43</v>
      </c>
      <c r="U16" s="41">
        <f>N10*43</f>
        <v>111.81690781435695</v>
      </c>
      <c r="V16" s="43" t="s">
        <v>0</v>
      </c>
      <c r="W16" s="63">
        <v>72</v>
      </c>
      <c r="X16" s="8">
        <f>N10*72</f>
        <v>187.22831075892327</v>
      </c>
      <c r="Y16" s="64" t="s">
        <v>0</v>
      </c>
      <c r="Z16" s="27"/>
    </row>
    <row r="17" spans="1:26" ht="12" customHeight="1" x14ac:dyDescent="0.25">
      <c r="A17" s="27"/>
      <c r="B17" s="51" t="s">
        <v>39</v>
      </c>
      <c r="C17" s="47">
        <v>10.3</v>
      </c>
      <c r="D17" s="47">
        <v>0.85</v>
      </c>
      <c r="E17" s="47">
        <v>2.4500000000000002</v>
      </c>
      <c r="F17" s="47">
        <v>3</v>
      </c>
      <c r="G17" s="47">
        <v>4.28</v>
      </c>
      <c r="H17" s="47">
        <v>7.7</v>
      </c>
      <c r="I17" s="52">
        <v>12.8</v>
      </c>
      <c r="J17" s="32"/>
      <c r="K17" s="10"/>
      <c r="L17" s="10"/>
      <c r="M17" s="10"/>
      <c r="N17" s="5"/>
      <c r="O17" s="57"/>
      <c r="P17" s="27"/>
      <c r="Q17" s="26">
        <v>15</v>
      </c>
      <c r="R17" s="16">
        <f>N10*15</f>
        <v>39.005898074775679</v>
      </c>
      <c r="S17" s="43" t="s">
        <v>0</v>
      </c>
      <c r="T17" s="18">
        <v>44</v>
      </c>
      <c r="U17" s="8">
        <f>N10*44</f>
        <v>114.41730101934199</v>
      </c>
      <c r="V17" s="42" t="s">
        <v>0</v>
      </c>
      <c r="W17" s="60">
        <v>73</v>
      </c>
      <c r="X17" s="41">
        <f>N10*73</f>
        <v>189.82870396390831</v>
      </c>
      <c r="Y17" s="58" t="s">
        <v>0</v>
      </c>
      <c r="Z17" s="27"/>
    </row>
    <row r="18" spans="1:26" ht="12" customHeight="1" x14ac:dyDescent="0.25">
      <c r="A18" s="27"/>
      <c r="B18" s="48" t="s">
        <v>17</v>
      </c>
      <c r="C18" s="49">
        <v>9.6999999999999993</v>
      </c>
      <c r="D18" s="49">
        <v>0.88</v>
      </c>
      <c r="E18" s="49">
        <v>2.4</v>
      </c>
      <c r="F18" s="49">
        <v>3.3</v>
      </c>
      <c r="G18" s="49">
        <v>3.8</v>
      </c>
      <c r="H18" s="49">
        <v>6.5</v>
      </c>
      <c r="I18" s="50">
        <v>13</v>
      </c>
      <c r="J18" s="32"/>
      <c r="K18" s="117" t="s">
        <v>34</v>
      </c>
      <c r="L18" s="117"/>
      <c r="M18" s="118"/>
      <c r="N18" s="9">
        <v>1.8</v>
      </c>
      <c r="O18" s="20" t="s">
        <v>32</v>
      </c>
      <c r="P18" s="27"/>
      <c r="Q18" s="25">
        <v>16</v>
      </c>
      <c r="R18" s="15">
        <f>N10*16</f>
        <v>41.606291279760725</v>
      </c>
      <c r="S18" s="42" t="s">
        <v>0</v>
      </c>
      <c r="T18" s="19">
        <v>45</v>
      </c>
      <c r="U18" s="41">
        <f>N10*45</f>
        <v>117.01769422432704</v>
      </c>
      <c r="V18" s="43" t="s">
        <v>0</v>
      </c>
      <c r="W18" s="63">
        <v>74</v>
      </c>
      <c r="X18" s="8">
        <f>N10*74</f>
        <v>192.42909716889335</v>
      </c>
      <c r="Y18" s="64" t="s">
        <v>0</v>
      </c>
      <c r="Z18" s="27"/>
    </row>
    <row r="19" spans="1:26" ht="12" customHeight="1" x14ac:dyDescent="0.25">
      <c r="A19" s="27"/>
      <c r="B19" s="45" t="s">
        <v>50</v>
      </c>
      <c r="C19" s="44">
        <v>13.5</v>
      </c>
      <c r="D19" s="44">
        <v>0.81</v>
      </c>
      <c r="E19" s="44">
        <v>2.4</v>
      </c>
      <c r="F19" s="44" t="s">
        <v>53</v>
      </c>
      <c r="G19" s="44">
        <v>4.2</v>
      </c>
      <c r="H19" s="44">
        <v>7.5</v>
      </c>
      <c r="I19" s="44">
        <v>13.4</v>
      </c>
      <c r="J19" s="32"/>
      <c r="K19" s="106" t="s">
        <v>59</v>
      </c>
      <c r="L19" s="106"/>
      <c r="M19" s="106"/>
      <c r="N19" s="5"/>
      <c r="O19" s="57"/>
      <c r="P19" s="27"/>
      <c r="Q19" s="26">
        <v>17</v>
      </c>
      <c r="R19" s="16">
        <f>N10*17</f>
        <v>44.206684484745772</v>
      </c>
      <c r="S19" s="43" t="s">
        <v>0</v>
      </c>
      <c r="T19" s="18">
        <v>46</v>
      </c>
      <c r="U19" s="8">
        <f>N10*46</f>
        <v>119.61808742931208</v>
      </c>
      <c r="V19" s="42" t="s">
        <v>0</v>
      </c>
      <c r="W19" s="60">
        <v>75</v>
      </c>
      <c r="X19" s="41">
        <f>N10*75</f>
        <v>195.02949037387839</v>
      </c>
      <c r="Y19" s="58" t="s">
        <v>0</v>
      </c>
      <c r="Z19" s="27"/>
    </row>
    <row r="20" spans="1:26" ht="12" customHeight="1" x14ac:dyDescent="0.25">
      <c r="A20" s="27"/>
      <c r="B20" s="48" t="s">
        <v>9</v>
      </c>
      <c r="C20" s="49">
        <v>10.3</v>
      </c>
      <c r="D20" s="49">
        <v>0.85</v>
      </c>
      <c r="E20" s="49">
        <v>2.7</v>
      </c>
      <c r="F20" s="49">
        <v>2.9</v>
      </c>
      <c r="G20" s="49">
        <v>4.5</v>
      </c>
      <c r="H20" s="49">
        <v>7.5</v>
      </c>
      <c r="I20" s="50">
        <v>15</v>
      </c>
      <c r="J20" s="32"/>
      <c r="K20" s="23"/>
      <c r="L20" s="23"/>
      <c r="M20" s="23"/>
      <c r="N20" s="5"/>
      <c r="O20" s="57"/>
      <c r="P20" s="27"/>
      <c r="Q20" s="25">
        <v>18</v>
      </c>
      <c r="R20" s="15">
        <f>N10*18</f>
        <v>46.807077689730818</v>
      </c>
      <c r="S20" s="42" t="s">
        <v>0</v>
      </c>
      <c r="T20" s="19">
        <v>47</v>
      </c>
      <c r="U20" s="41">
        <f>N10*47</f>
        <v>122.21848063429714</v>
      </c>
      <c r="V20" s="43" t="s">
        <v>0</v>
      </c>
      <c r="W20" s="63">
        <v>76</v>
      </c>
      <c r="X20" s="8">
        <f>N10*76</f>
        <v>197.62988357886346</v>
      </c>
      <c r="Y20" s="64" t="s">
        <v>0</v>
      </c>
      <c r="Z20" s="27"/>
    </row>
    <row r="21" spans="1:26" ht="12" customHeight="1" x14ac:dyDescent="0.25">
      <c r="A21" s="27"/>
      <c r="B21" s="51" t="s">
        <v>75</v>
      </c>
      <c r="C21" s="47">
        <v>10.3</v>
      </c>
      <c r="D21" s="47">
        <v>0.87</v>
      </c>
      <c r="E21" s="47">
        <v>2.8</v>
      </c>
      <c r="F21" s="47">
        <v>3.4</v>
      </c>
      <c r="G21" s="47">
        <v>4.9000000000000004</v>
      </c>
      <c r="H21" s="47">
        <v>8.6</v>
      </c>
      <c r="I21" s="52">
        <v>15.5</v>
      </c>
      <c r="J21" s="32"/>
      <c r="K21" s="92" t="s">
        <v>58</v>
      </c>
      <c r="L21" s="92"/>
      <c r="M21" s="93"/>
      <c r="N21" s="83">
        <f>N18/N23</f>
        <v>0.35099999999999998</v>
      </c>
      <c r="O21" s="20" t="s">
        <v>32</v>
      </c>
      <c r="P21" s="27"/>
      <c r="Q21" s="26">
        <v>19</v>
      </c>
      <c r="R21" s="16">
        <f>N10*19</f>
        <v>49.407470894715864</v>
      </c>
      <c r="S21" s="43" t="s">
        <v>0</v>
      </c>
      <c r="T21" s="18">
        <v>48</v>
      </c>
      <c r="U21" s="8">
        <f>N10*48</f>
        <v>124.81887383928218</v>
      </c>
      <c r="V21" s="42" t="s">
        <v>0</v>
      </c>
      <c r="W21" s="60">
        <v>77</v>
      </c>
      <c r="X21" s="41">
        <f>N10*77</f>
        <v>200.2302767838485</v>
      </c>
      <c r="Y21" s="58" t="s">
        <v>0</v>
      </c>
      <c r="Z21" s="27"/>
    </row>
    <row r="22" spans="1:26" ht="12" customHeight="1" x14ac:dyDescent="0.25">
      <c r="A22" s="27"/>
      <c r="B22" s="48" t="s">
        <v>2</v>
      </c>
      <c r="C22" s="49">
        <v>10.5</v>
      </c>
      <c r="D22" s="49">
        <v>0.85</v>
      </c>
      <c r="E22" s="49">
        <v>2.9</v>
      </c>
      <c r="F22" s="49">
        <v>3.4</v>
      </c>
      <c r="G22" s="49">
        <v>4.9000000000000004</v>
      </c>
      <c r="H22" s="49">
        <v>8.6999999999999993</v>
      </c>
      <c r="I22" s="50">
        <v>15.5</v>
      </c>
      <c r="J22" s="32"/>
      <c r="K22" s="35"/>
      <c r="L22" s="35"/>
      <c r="M22" s="35"/>
      <c r="N22" s="35"/>
      <c r="O22" s="36"/>
      <c r="P22" s="27"/>
      <c r="Q22" s="25">
        <v>20</v>
      </c>
      <c r="R22" s="15">
        <f>N10*20</f>
        <v>52.00786409970091</v>
      </c>
      <c r="S22" s="42" t="s">
        <v>0</v>
      </c>
      <c r="T22" s="19">
        <v>49</v>
      </c>
      <c r="U22" s="41">
        <f>N10*49</f>
        <v>127.41926704426722</v>
      </c>
      <c r="V22" s="43" t="s">
        <v>0</v>
      </c>
      <c r="W22" s="63">
        <v>78</v>
      </c>
      <c r="X22" s="8">
        <f>N10*78</f>
        <v>202.83066998883353</v>
      </c>
      <c r="Y22" s="64" t="s">
        <v>0</v>
      </c>
      <c r="Z22" s="27"/>
    </row>
    <row r="23" spans="1:26" ht="12" customHeight="1" x14ac:dyDescent="0.25">
      <c r="A23" s="27"/>
      <c r="B23" s="51" t="s">
        <v>40</v>
      </c>
      <c r="C23" s="47">
        <v>10.3</v>
      </c>
      <c r="D23" s="47">
        <v>0.83</v>
      </c>
      <c r="E23" s="47">
        <v>2.8</v>
      </c>
      <c r="F23" s="47">
        <v>3.2</v>
      </c>
      <c r="G23" s="47">
        <v>4.7</v>
      </c>
      <c r="H23" s="47">
        <v>8.6999999999999993</v>
      </c>
      <c r="I23" s="52">
        <v>15.6</v>
      </c>
      <c r="J23" s="32"/>
      <c r="K23" s="33">
        <v>100</v>
      </c>
      <c r="L23" s="33"/>
      <c r="M23" s="33"/>
      <c r="N23" s="33">
        <f>K23/N16</f>
        <v>5.1282051282051286</v>
      </c>
      <c r="O23" s="34"/>
      <c r="P23" s="27"/>
      <c r="Q23" s="26">
        <v>21</v>
      </c>
      <c r="R23" s="16">
        <f>N10*21</f>
        <v>54.608257304685949</v>
      </c>
      <c r="S23" s="43" t="s">
        <v>0</v>
      </c>
      <c r="T23" s="18">
        <v>50</v>
      </c>
      <c r="U23" s="8">
        <f>N10*50</f>
        <v>130.01966024925227</v>
      </c>
      <c r="V23" s="42" t="s">
        <v>0</v>
      </c>
      <c r="W23" s="60">
        <v>79</v>
      </c>
      <c r="X23" s="41">
        <f>N10*79</f>
        <v>205.43106319381857</v>
      </c>
      <c r="Y23" s="58" t="s">
        <v>0</v>
      </c>
      <c r="Z23" s="27"/>
    </row>
    <row r="24" spans="1:26" ht="12" customHeight="1" x14ac:dyDescent="0.25">
      <c r="A24" s="27"/>
      <c r="B24" s="48" t="s">
        <v>14</v>
      </c>
      <c r="C24" s="49">
        <v>10.3</v>
      </c>
      <c r="D24" s="49">
        <v>0.83</v>
      </c>
      <c r="E24" s="49">
        <v>2.6</v>
      </c>
      <c r="F24" s="49">
        <v>3</v>
      </c>
      <c r="G24" s="49">
        <v>4.5999999999999996</v>
      </c>
      <c r="H24" s="49">
        <v>8.4</v>
      </c>
      <c r="I24" s="50">
        <v>15.6</v>
      </c>
      <c r="J24" s="32"/>
      <c r="K24" s="99" t="s">
        <v>29</v>
      </c>
      <c r="L24" s="99"/>
      <c r="M24" s="99"/>
      <c r="N24" s="99"/>
      <c r="O24" s="99"/>
      <c r="P24" s="27"/>
      <c r="Q24" s="25">
        <v>22</v>
      </c>
      <c r="R24" s="15">
        <f>N10*22</f>
        <v>57.208650509670996</v>
      </c>
      <c r="S24" s="42" t="s">
        <v>0</v>
      </c>
      <c r="T24" s="19">
        <v>51</v>
      </c>
      <c r="U24" s="41">
        <f>N10*51</f>
        <v>132.62005345423731</v>
      </c>
      <c r="V24" s="43" t="s">
        <v>0</v>
      </c>
      <c r="W24" s="63">
        <v>80</v>
      </c>
      <c r="X24" s="8">
        <f>N10*80</f>
        <v>208.03145639880364</v>
      </c>
      <c r="Y24" s="64" t="s">
        <v>0</v>
      </c>
      <c r="Z24" s="27"/>
    </row>
    <row r="25" spans="1:26" ht="12" customHeight="1" x14ac:dyDescent="0.25">
      <c r="A25" s="27"/>
      <c r="B25" s="51" t="s">
        <v>11</v>
      </c>
      <c r="C25" s="47">
        <v>9.8000000000000007</v>
      </c>
      <c r="D25" s="47">
        <v>0.84</v>
      </c>
      <c r="E25" s="47">
        <v>2.8</v>
      </c>
      <c r="F25" s="47">
        <v>3.2</v>
      </c>
      <c r="G25" s="47">
        <v>4.9000000000000004</v>
      </c>
      <c r="H25" s="47">
        <v>8.8000000000000007</v>
      </c>
      <c r="I25" s="52">
        <v>16</v>
      </c>
      <c r="J25" s="32"/>
      <c r="K25" s="2"/>
      <c r="L25" s="2"/>
      <c r="M25" s="2"/>
      <c r="N25" s="2"/>
      <c r="O25" s="3"/>
      <c r="P25" s="27"/>
      <c r="Q25" s="26">
        <v>23</v>
      </c>
      <c r="R25" s="16">
        <f>N10*23</f>
        <v>59.809043714656042</v>
      </c>
      <c r="S25" s="43" t="s">
        <v>0</v>
      </c>
      <c r="T25" s="18">
        <v>52</v>
      </c>
      <c r="U25" s="8">
        <f>N10*52</f>
        <v>135.22044665922235</v>
      </c>
      <c r="V25" s="42" t="s">
        <v>0</v>
      </c>
      <c r="W25" s="60">
        <v>81</v>
      </c>
      <c r="X25" s="41">
        <f>N10*81</f>
        <v>210.63184960378868</v>
      </c>
      <c r="Y25" s="58" t="s">
        <v>0</v>
      </c>
      <c r="Z25" s="27"/>
    </row>
    <row r="26" spans="1:26" ht="12" customHeight="1" x14ac:dyDescent="0.25">
      <c r="A26" s="27"/>
      <c r="B26" s="48" t="s">
        <v>12</v>
      </c>
      <c r="C26" s="49">
        <v>10.199999999999999</v>
      </c>
      <c r="D26" s="49">
        <v>0.85</v>
      </c>
      <c r="E26" s="49">
        <v>2.85</v>
      </c>
      <c r="F26" s="49">
        <v>3.3</v>
      </c>
      <c r="G26" s="49">
        <v>5</v>
      </c>
      <c r="H26" s="49">
        <v>8.9</v>
      </c>
      <c r="I26" s="50">
        <v>16.2</v>
      </c>
      <c r="J26" s="32"/>
      <c r="K26" s="100" t="s">
        <v>60</v>
      </c>
      <c r="L26" s="100"/>
      <c r="M26" s="101"/>
      <c r="N26" s="4">
        <v>100</v>
      </c>
      <c r="O26" s="21" t="s">
        <v>31</v>
      </c>
      <c r="P26" s="27"/>
      <c r="Q26" s="25">
        <v>24</v>
      </c>
      <c r="R26" s="15">
        <f>N10*24</f>
        <v>62.409436919641088</v>
      </c>
      <c r="S26" s="42" t="s">
        <v>0</v>
      </c>
      <c r="T26" s="19">
        <v>53</v>
      </c>
      <c r="U26" s="41">
        <f>N10*53</f>
        <v>137.82083986420741</v>
      </c>
      <c r="V26" s="43" t="s">
        <v>0</v>
      </c>
      <c r="W26" s="63">
        <v>82</v>
      </c>
      <c r="X26" s="8">
        <f>N10*82</f>
        <v>213.23224280877372</v>
      </c>
      <c r="Y26" s="64" t="s">
        <v>0</v>
      </c>
      <c r="Z26" s="27"/>
    </row>
    <row r="27" spans="1:26" ht="12" customHeight="1" x14ac:dyDescent="0.25">
      <c r="A27" s="27"/>
      <c r="B27" s="51" t="s">
        <v>4</v>
      </c>
      <c r="C27" s="47">
        <v>10.199999999999999</v>
      </c>
      <c r="D27" s="47">
        <v>0.85</v>
      </c>
      <c r="E27" s="47">
        <v>2.8</v>
      </c>
      <c r="F27" s="47">
        <v>3.2</v>
      </c>
      <c r="G27" s="47">
        <v>4.9000000000000004</v>
      </c>
      <c r="H27" s="47">
        <v>8.9</v>
      </c>
      <c r="I27" s="52">
        <v>16.5</v>
      </c>
      <c r="J27" s="32"/>
      <c r="K27" s="5"/>
      <c r="L27" s="5"/>
      <c r="M27" s="12"/>
      <c r="N27" s="13">
        <f>LOG10(N26)*10</f>
        <v>20</v>
      </c>
      <c r="O27" s="22" t="s">
        <v>33</v>
      </c>
      <c r="P27" s="27"/>
      <c r="Q27" s="26">
        <v>25</v>
      </c>
      <c r="R27" s="16">
        <f>N10*25</f>
        <v>65.009830124626134</v>
      </c>
      <c r="S27" s="43" t="s">
        <v>0</v>
      </c>
      <c r="T27" s="18">
        <v>54</v>
      </c>
      <c r="U27" s="8">
        <f>N10*54</f>
        <v>140.42123306919245</v>
      </c>
      <c r="V27" s="42" t="s">
        <v>0</v>
      </c>
      <c r="W27" s="60">
        <v>83</v>
      </c>
      <c r="X27" s="41">
        <f>N10*83</f>
        <v>215.83263601375876</v>
      </c>
      <c r="Y27" s="58" t="s">
        <v>0</v>
      </c>
      <c r="Z27" s="27"/>
    </row>
    <row r="28" spans="1:26" ht="12" customHeight="1" x14ac:dyDescent="0.25">
      <c r="A28" s="27"/>
      <c r="B28" s="48" t="s">
        <v>72</v>
      </c>
      <c r="C28" s="49">
        <v>10.3</v>
      </c>
      <c r="D28" s="91">
        <v>0.8</v>
      </c>
      <c r="E28" s="49">
        <v>2.9</v>
      </c>
      <c r="F28" s="49">
        <v>3.5</v>
      </c>
      <c r="G28" s="49">
        <v>4.9000000000000004</v>
      </c>
      <c r="H28" s="49">
        <v>9</v>
      </c>
      <c r="I28" s="50">
        <v>17</v>
      </c>
      <c r="J28" s="32"/>
      <c r="K28" s="37"/>
      <c r="L28" s="5"/>
      <c r="M28" s="5"/>
      <c r="N28" s="5"/>
      <c r="O28" s="57"/>
      <c r="P28" s="27"/>
      <c r="Q28" s="25">
        <v>26</v>
      </c>
      <c r="R28" s="15">
        <f>N10*26</f>
        <v>67.610223329611173</v>
      </c>
      <c r="S28" s="42" t="s">
        <v>0</v>
      </c>
      <c r="T28" s="19">
        <v>55</v>
      </c>
      <c r="U28" s="41">
        <f>N10*55</f>
        <v>143.02162627417749</v>
      </c>
      <c r="V28" s="43" t="s">
        <v>0</v>
      </c>
      <c r="W28" s="63">
        <v>84</v>
      </c>
      <c r="X28" s="8">
        <f>N10*84</f>
        <v>218.4330292187438</v>
      </c>
      <c r="Y28" s="64" t="s">
        <v>0</v>
      </c>
      <c r="Z28" s="27"/>
    </row>
    <row r="29" spans="1:26" ht="12" customHeight="1" x14ac:dyDescent="0.25">
      <c r="A29" s="27"/>
      <c r="B29" s="51" t="s">
        <v>41</v>
      </c>
      <c r="C29" s="47">
        <v>7.3</v>
      </c>
      <c r="D29" s="47">
        <v>0.83</v>
      </c>
      <c r="E29" s="47">
        <v>4</v>
      </c>
      <c r="F29" s="47">
        <v>4.9000000000000004</v>
      </c>
      <c r="G29" s="47">
        <v>6.9</v>
      </c>
      <c r="H29" s="47">
        <v>12.4</v>
      </c>
      <c r="I29" s="52">
        <v>22.3</v>
      </c>
      <c r="J29" s="32"/>
      <c r="K29" s="5"/>
      <c r="L29" s="5"/>
      <c r="M29" s="5"/>
      <c r="N29" s="5"/>
      <c r="O29" s="57"/>
      <c r="P29" s="27"/>
      <c r="Q29" s="26">
        <v>27</v>
      </c>
      <c r="R29" s="16">
        <f>N10*27</f>
        <v>70.210616534596227</v>
      </c>
      <c r="S29" s="43" t="s">
        <v>0</v>
      </c>
      <c r="T29" s="18">
        <v>56</v>
      </c>
      <c r="U29" s="8">
        <f>N10*56</f>
        <v>145.62201947916253</v>
      </c>
      <c r="V29" s="42" t="s">
        <v>0</v>
      </c>
      <c r="W29" s="60">
        <v>85</v>
      </c>
      <c r="X29" s="41">
        <f>N10*85</f>
        <v>221.03342242372887</v>
      </c>
      <c r="Y29" s="58" t="s">
        <v>0</v>
      </c>
      <c r="Z29" s="27"/>
    </row>
    <row r="30" spans="1:26" ht="12" customHeight="1" x14ac:dyDescent="0.25">
      <c r="A30" s="27"/>
      <c r="B30" s="48" t="s">
        <v>70</v>
      </c>
      <c r="C30" s="49">
        <v>7.2</v>
      </c>
      <c r="D30" s="49">
        <v>0.85</v>
      </c>
      <c r="E30" s="49">
        <v>4.5</v>
      </c>
      <c r="F30" s="49">
        <v>5.3</v>
      </c>
      <c r="G30" s="49">
        <v>7.7</v>
      </c>
      <c r="H30" s="49">
        <v>13.6</v>
      </c>
      <c r="I30" s="50">
        <v>24.1</v>
      </c>
      <c r="J30" s="32"/>
      <c r="K30" s="92" t="s">
        <v>61</v>
      </c>
      <c r="L30" s="92"/>
      <c r="M30" s="93"/>
      <c r="N30" s="14">
        <f>POWER(10,N33)</f>
        <v>108.41765261531717</v>
      </c>
      <c r="O30" s="57" t="s">
        <v>31</v>
      </c>
      <c r="P30" s="27"/>
      <c r="Q30" s="25">
        <v>28</v>
      </c>
      <c r="R30" s="15">
        <f>N10*28</f>
        <v>72.811009739581266</v>
      </c>
      <c r="S30" s="42" t="s">
        <v>0</v>
      </c>
      <c r="T30" s="19">
        <v>57</v>
      </c>
      <c r="U30" s="41">
        <f>N10*57</f>
        <v>148.22241268414757</v>
      </c>
      <c r="V30" s="43" t="s">
        <v>0</v>
      </c>
      <c r="W30" s="63">
        <v>86</v>
      </c>
      <c r="X30" s="8">
        <f>N10*86</f>
        <v>223.6338156287139</v>
      </c>
      <c r="Y30" s="64" t="s">
        <v>0</v>
      </c>
      <c r="Z30" s="27"/>
    </row>
    <row r="31" spans="1:26" ht="12" customHeight="1" x14ac:dyDescent="0.25">
      <c r="A31" s="27"/>
      <c r="B31" s="51" t="s">
        <v>8</v>
      </c>
      <c r="C31" s="47">
        <v>7.3</v>
      </c>
      <c r="D31" s="47">
        <v>0.83</v>
      </c>
      <c r="E31" s="47">
        <v>4.5</v>
      </c>
      <c r="F31" s="47">
        <v>5</v>
      </c>
      <c r="G31" s="47">
        <v>7.6</v>
      </c>
      <c r="H31" s="47">
        <v>13.6</v>
      </c>
      <c r="I31" s="52">
        <v>24.8</v>
      </c>
      <c r="J31" s="32"/>
      <c r="K31" s="102" t="s">
        <v>62</v>
      </c>
      <c r="L31" s="102"/>
      <c r="M31" s="102"/>
      <c r="N31" s="38"/>
      <c r="O31" s="11"/>
      <c r="P31" s="27"/>
      <c r="Q31" s="26">
        <v>29</v>
      </c>
      <c r="R31" s="16">
        <f>N10*29</f>
        <v>75.411402944566319</v>
      </c>
      <c r="S31" s="43" t="s">
        <v>0</v>
      </c>
      <c r="T31" s="18">
        <v>58</v>
      </c>
      <c r="U31" s="8">
        <f>N10*58</f>
        <v>150.82280588913264</v>
      </c>
      <c r="V31" s="42" t="s">
        <v>0</v>
      </c>
      <c r="W31" s="60">
        <v>87</v>
      </c>
      <c r="X31" s="41">
        <f>N10*87</f>
        <v>226.23420883369894</v>
      </c>
      <c r="Y31" s="58" t="s">
        <v>0</v>
      </c>
      <c r="Z31" s="27"/>
    </row>
    <row r="32" spans="1:26" ht="12" customHeight="1" x14ac:dyDescent="0.25">
      <c r="A32" s="27"/>
      <c r="B32" s="48" t="s">
        <v>7</v>
      </c>
      <c r="C32" s="49">
        <v>10.3</v>
      </c>
      <c r="D32" s="49">
        <v>0.66</v>
      </c>
      <c r="E32" s="49">
        <v>4.5</v>
      </c>
      <c r="F32" s="49">
        <v>5.3</v>
      </c>
      <c r="G32" s="49">
        <v>7.8</v>
      </c>
      <c r="H32" s="49">
        <v>14.3</v>
      </c>
      <c r="I32" s="50">
        <v>26</v>
      </c>
      <c r="J32" s="32"/>
      <c r="K32" s="24"/>
      <c r="L32" s="24"/>
      <c r="M32" s="24"/>
      <c r="N32" s="24"/>
      <c r="O32" s="24"/>
      <c r="P32" s="27"/>
      <c r="Q32" s="25">
        <v>30</v>
      </c>
      <c r="R32" s="15">
        <f>N10*30</f>
        <v>78.011796149551358</v>
      </c>
      <c r="S32" s="42" t="s">
        <v>0</v>
      </c>
      <c r="T32" s="19">
        <v>59</v>
      </c>
      <c r="U32" s="41">
        <f>N10*59</f>
        <v>153.42319909411768</v>
      </c>
      <c r="V32" s="43" t="s">
        <v>0</v>
      </c>
      <c r="W32" s="63">
        <v>88</v>
      </c>
      <c r="X32" s="8">
        <f>N10*88</f>
        <v>228.83460203868398</v>
      </c>
      <c r="Y32" s="64" t="s">
        <v>0</v>
      </c>
      <c r="Z32" s="27"/>
    </row>
    <row r="33" spans="1:27" ht="12" customHeight="1" x14ac:dyDescent="0.25">
      <c r="A33" s="27"/>
      <c r="B33" s="51" t="s">
        <v>69</v>
      </c>
      <c r="C33" s="47">
        <v>6.1</v>
      </c>
      <c r="D33" s="47">
        <v>0.84</v>
      </c>
      <c r="E33" s="47">
        <v>5.7</v>
      </c>
      <c r="F33" s="47">
        <v>6.7</v>
      </c>
      <c r="G33" s="47">
        <v>9.6999999999999993</v>
      </c>
      <c r="H33" s="47">
        <v>17</v>
      </c>
      <c r="I33" s="52">
        <v>30</v>
      </c>
      <c r="J33" s="32"/>
      <c r="K33" s="29">
        <f>N27/10</f>
        <v>2</v>
      </c>
      <c r="L33" s="29">
        <f>POWER(10,K33)</f>
        <v>100</v>
      </c>
      <c r="M33" s="39">
        <f>N27+N21</f>
        <v>20.350999999999999</v>
      </c>
      <c r="N33" s="29">
        <f>M33/10</f>
        <v>2.0350999999999999</v>
      </c>
      <c r="O33" s="40"/>
      <c r="P33" s="27"/>
      <c r="Q33" s="82"/>
      <c r="R33" s="27"/>
      <c r="S33" s="27"/>
      <c r="T33" s="27"/>
      <c r="U33" s="27"/>
      <c r="V33" s="27"/>
      <c r="W33" s="59"/>
      <c r="X33" s="27"/>
      <c r="Y33" s="85"/>
      <c r="Z33" s="27"/>
    </row>
    <row r="34" spans="1:27" ht="12" customHeight="1" x14ac:dyDescent="0.25">
      <c r="A34" s="27"/>
      <c r="B34" s="48" t="s">
        <v>76</v>
      </c>
      <c r="C34" s="49">
        <v>5.4</v>
      </c>
      <c r="D34" s="49">
        <v>0.87</v>
      </c>
      <c r="E34" s="49">
        <v>5.6</v>
      </c>
      <c r="F34" s="49">
        <v>6.7</v>
      </c>
      <c r="G34" s="49">
        <v>9.6999999999999993</v>
      </c>
      <c r="H34" s="49">
        <v>17.3</v>
      </c>
      <c r="I34" s="50">
        <v>30.5</v>
      </c>
      <c r="J34" s="32"/>
      <c r="K34" s="27"/>
      <c r="L34" s="27"/>
      <c r="M34" s="27"/>
      <c r="N34" s="27"/>
      <c r="O34" s="27"/>
      <c r="P34" s="27"/>
      <c r="Q34" s="86"/>
      <c r="R34" s="27"/>
      <c r="S34" s="27"/>
      <c r="T34" s="27"/>
      <c r="U34" s="27"/>
      <c r="V34" s="27"/>
      <c r="W34" s="59"/>
      <c r="X34" s="27"/>
      <c r="Y34" s="85"/>
      <c r="Z34" s="27"/>
    </row>
    <row r="35" spans="1:27" ht="12" customHeight="1" x14ac:dyDescent="0.25">
      <c r="A35" s="27"/>
      <c r="B35" s="51" t="s">
        <v>45</v>
      </c>
      <c r="C35" s="47">
        <v>10.8</v>
      </c>
      <c r="D35" s="47">
        <v>0.66</v>
      </c>
      <c r="E35" s="47">
        <v>4.5999999999999996</v>
      </c>
      <c r="F35" s="47">
        <v>5.24</v>
      </c>
      <c r="G35" s="47">
        <v>8.3000000000000007</v>
      </c>
      <c r="H35" s="47">
        <v>15.4</v>
      </c>
      <c r="I35" s="52">
        <v>31.8</v>
      </c>
      <c r="J35" s="32"/>
      <c r="K35" s="27"/>
      <c r="L35" s="27"/>
      <c r="M35" s="27"/>
      <c r="N35" s="27"/>
      <c r="O35" s="27"/>
      <c r="P35" s="27"/>
      <c r="Q35" s="82"/>
      <c r="R35" s="27"/>
      <c r="S35" s="27"/>
      <c r="T35" s="27"/>
      <c r="U35" s="27"/>
      <c r="V35" s="27"/>
      <c r="W35" s="59"/>
      <c r="X35" s="27"/>
      <c r="Y35" s="27"/>
      <c r="Z35" s="27"/>
    </row>
    <row r="36" spans="1:27" ht="12" customHeight="1" x14ac:dyDescent="0.25">
      <c r="A36" s="27"/>
      <c r="B36" s="48" t="s">
        <v>42</v>
      </c>
      <c r="C36" s="49">
        <v>5</v>
      </c>
      <c r="D36" s="49">
        <v>0.85</v>
      </c>
      <c r="E36" s="49">
        <v>7</v>
      </c>
      <c r="F36" s="49">
        <v>8.1999999999999993</v>
      </c>
      <c r="G36" s="49">
        <v>11</v>
      </c>
      <c r="H36" s="49">
        <v>19.100000000000001</v>
      </c>
      <c r="I36" s="50">
        <v>34.200000000000003</v>
      </c>
      <c r="J36" s="32"/>
      <c r="K36" s="27"/>
      <c r="L36" s="27"/>
      <c r="M36" s="27"/>
      <c r="N36" s="27"/>
      <c r="O36" s="27"/>
      <c r="P36" s="27"/>
      <c r="Q36" s="82"/>
      <c r="R36" s="27"/>
      <c r="S36" s="27"/>
      <c r="T36" s="27"/>
      <c r="U36" s="27"/>
      <c r="V36" s="27"/>
      <c r="W36" s="59"/>
      <c r="X36" s="27"/>
      <c r="Y36" s="27"/>
      <c r="Z36" s="27"/>
    </row>
    <row r="37" spans="1:27" ht="12" customHeight="1" x14ac:dyDescent="0.25">
      <c r="A37" s="27"/>
      <c r="B37" s="51" t="s">
        <v>10</v>
      </c>
      <c r="C37" s="47">
        <v>5</v>
      </c>
      <c r="D37" s="47">
        <v>0.82</v>
      </c>
      <c r="E37" s="47">
        <v>6.6</v>
      </c>
      <c r="F37" s="47">
        <v>8</v>
      </c>
      <c r="G37" s="47">
        <v>11.3</v>
      </c>
      <c r="H37" s="47">
        <v>20</v>
      </c>
      <c r="I37" s="52">
        <v>35.700000000000003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59"/>
      <c r="X37" s="27"/>
      <c r="Y37" s="27"/>
      <c r="Z37" s="27"/>
    </row>
    <row r="38" spans="1:27" ht="12" customHeight="1" x14ac:dyDescent="0.25">
      <c r="A38" s="27"/>
      <c r="B38" s="48" t="s">
        <v>28</v>
      </c>
      <c r="C38" s="49">
        <v>6.5</v>
      </c>
      <c r="D38" s="49">
        <v>0.78</v>
      </c>
      <c r="E38" s="49">
        <v>7.75</v>
      </c>
      <c r="F38" s="49">
        <v>9.3000000000000007</v>
      </c>
      <c r="G38" s="49">
        <v>13.8</v>
      </c>
      <c r="H38" s="49">
        <v>25.7</v>
      </c>
      <c r="I38" s="50">
        <v>50.2</v>
      </c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59"/>
      <c r="X38" s="27"/>
      <c r="Y38" s="27"/>
      <c r="Z38" s="27"/>
    </row>
    <row r="39" spans="1:27" ht="12" customHeight="1" x14ac:dyDescent="0.25">
      <c r="A39" s="27"/>
      <c r="B39" s="51" t="s">
        <v>43</v>
      </c>
      <c r="C39" s="47">
        <v>5</v>
      </c>
      <c r="D39" s="47">
        <v>0.66</v>
      </c>
      <c r="E39" s="47">
        <v>10.8</v>
      </c>
      <c r="F39" s="47">
        <v>13</v>
      </c>
      <c r="G39" s="47">
        <v>19.3</v>
      </c>
      <c r="H39" s="47">
        <v>35</v>
      </c>
      <c r="I39" s="52">
        <v>63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59"/>
      <c r="X39" s="27"/>
      <c r="Y39" s="27"/>
      <c r="Z39" s="27"/>
    </row>
    <row r="40" spans="1:27" ht="12" customHeight="1" x14ac:dyDescent="0.25">
      <c r="A40" s="27"/>
      <c r="B40" s="48" t="s">
        <v>6</v>
      </c>
      <c r="C40" s="49">
        <v>5</v>
      </c>
      <c r="D40" s="49">
        <v>0.66</v>
      </c>
      <c r="E40" s="49">
        <v>10.5</v>
      </c>
      <c r="F40" s="49">
        <v>12.5</v>
      </c>
      <c r="G40" s="49">
        <v>18.100000000000001</v>
      </c>
      <c r="H40" s="49">
        <v>32.1</v>
      </c>
      <c r="I40" s="50">
        <v>90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59"/>
      <c r="X40" s="27"/>
      <c r="Y40" s="27"/>
      <c r="Z40" s="27"/>
    </row>
    <row r="41" spans="1:27" ht="12" customHeight="1" x14ac:dyDescent="0.25">
      <c r="A41" s="27"/>
      <c r="B41" s="46" t="s">
        <v>44</v>
      </c>
      <c r="C41" s="47">
        <v>2.8</v>
      </c>
      <c r="D41" s="47">
        <v>0.66</v>
      </c>
      <c r="E41" s="47">
        <v>18.5</v>
      </c>
      <c r="F41" s="47">
        <v>21.3</v>
      </c>
      <c r="G41" s="47">
        <v>32</v>
      </c>
      <c r="H41" s="47">
        <v>57.3</v>
      </c>
      <c r="I41" s="47">
        <v>107</v>
      </c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59"/>
      <c r="X41" s="27"/>
      <c r="Y41" s="27"/>
      <c r="Z41" s="27"/>
    </row>
    <row r="42" spans="1:27" ht="12" customHeight="1" x14ac:dyDescent="0.25">
      <c r="A42" s="27"/>
      <c r="B42" s="103" t="s">
        <v>57</v>
      </c>
      <c r="C42" s="103"/>
      <c r="D42" s="103"/>
      <c r="E42" s="103"/>
      <c r="F42" s="103"/>
      <c r="G42" s="103"/>
      <c r="H42" s="103"/>
      <c r="I42" s="103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59"/>
      <c r="X42" s="27"/>
      <c r="Y42" s="27"/>
      <c r="Z42" s="27"/>
    </row>
    <row r="43" spans="1:27" ht="12" customHeight="1" x14ac:dyDescent="0.25">
      <c r="A43" s="27"/>
      <c r="B43" s="95" t="s">
        <v>56</v>
      </c>
      <c r="C43" s="96"/>
      <c r="D43" s="96"/>
      <c r="E43" s="96"/>
      <c r="F43" s="96"/>
      <c r="G43" s="96"/>
      <c r="H43" s="96"/>
      <c r="I43" s="9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59"/>
      <c r="X43" s="27"/>
      <c r="Y43" s="27"/>
      <c r="Z43" s="27"/>
    </row>
    <row r="44" spans="1:27" ht="12" customHeight="1" x14ac:dyDescent="0.25">
      <c r="A44" s="27"/>
      <c r="B44" s="97"/>
      <c r="C44" s="97"/>
      <c r="D44" s="97"/>
      <c r="E44" s="97"/>
      <c r="F44" s="97"/>
      <c r="G44" s="97"/>
      <c r="H44" s="97"/>
      <c r="I44" s="97"/>
      <c r="J44" s="27"/>
      <c r="K44" s="82"/>
      <c r="L44" s="82"/>
      <c r="M44" s="82"/>
      <c r="N44" s="82"/>
      <c r="O44" s="82"/>
      <c r="P44" s="27"/>
      <c r="Q44" s="27"/>
      <c r="R44" s="82"/>
      <c r="S44" s="82"/>
      <c r="T44" s="82"/>
      <c r="U44" s="82"/>
      <c r="V44" s="82"/>
      <c r="W44" s="82"/>
      <c r="X44" s="82"/>
      <c r="Y44" s="27"/>
      <c r="Z44" s="27"/>
    </row>
    <row r="45" spans="1:27" ht="8.1" customHeight="1" x14ac:dyDescent="0.25">
      <c r="A45" s="27"/>
      <c r="B45" s="82"/>
      <c r="C45" s="82"/>
      <c r="D45" s="82"/>
      <c r="E45" s="82"/>
      <c r="F45" s="82"/>
      <c r="G45" s="82"/>
      <c r="H45" s="82"/>
      <c r="I45" s="82"/>
      <c r="J45" s="27"/>
      <c r="K45" s="82"/>
      <c r="L45" s="82"/>
      <c r="M45" s="82"/>
      <c r="N45" s="82"/>
      <c r="O45" s="84"/>
      <c r="P45" s="27"/>
      <c r="Q45" s="27"/>
      <c r="R45" s="84"/>
      <c r="S45" s="84"/>
      <c r="T45" s="84"/>
      <c r="U45" s="84"/>
      <c r="V45" s="84"/>
      <c r="W45" s="84"/>
      <c r="X45" s="84"/>
      <c r="Y45" s="27"/>
      <c r="Z45" s="27"/>
    </row>
    <row r="46" spans="1:27" ht="12" customHeight="1" x14ac:dyDescent="0.25">
      <c r="A46" s="27"/>
      <c r="B46" s="98" t="s">
        <v>78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4" t="s">
        <v>77</v>
      </c>
      <c r="Q46" s="94"/>
      <c r="R46" s="94"/>
      <c r="S46" s="94"/>
      <c r="T46" s="94"/>
      <c r="U46" s="94"/>
      <c r="V46" s="94"/>
      <c r="W46" s="94"/>
      <c r="X46" s="94"/>
      <c r="Y46" s="94"/>
      <c r="Z46" s="27"/>
    </row>
    <row r="47" spans="1:27" ht="8.1" customHeight="1" x14ac:dyDescent="0.25">
      <c r="A47" s="87"/>
      <c r="B47" s="88"/>
      <c r="C47" s="88"/>
      <c r="D47" s="88"/>
      <c r="E47" s="88"/>
      <c r="F47" s="88"/>
      <c r="G47" s="88"/>
      <c r="H47" s="88"/>
      <c r="I47" s="88"/>
      <c r="J47" s="87"/>
      <c r="K47" s="88"/>
      <c r="L47" s="88"/>
      <c r="M47" s="88"/>
      <c r="N47" s="88"/>
      <c r="O47" s="88"/>
      <c r="P47" s="87"/>
      <c r="Q47" s="87"/>
      <c r="R47" s="88"/>
      <c r="S47" s="88"/>
      <c r="T47" s="88"/>
      <c r="U47" s="88"/>
      <c r="V47" s="88"/>
      <c r="W47" s="88"/>
      <c r="X47" s="88"/>
      <c r="Y47" s="89"/>
      <c r="Z47" s="87"/>
      <c r="AA47" s="90"/>
    </row>
    <row r="48" spans="1:27" x14ac:dyDescent="0.25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</row>
    <row r="49" spans="1:27" x14ac:dyDescent="0.2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</row>
    <row r="50" spans="1:27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</row>
    <row r="51" spans="1:27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</row>
    <row r="52" spans="1:27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</row>
    <row r="53" spans="1:27" x14ac:dyDescent="0.2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</row>
    <row r="54" spans="1:27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</row>
    <row r="55" spans="1:27" x14ac:dyDescent="0.25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</row>
    <row r="56" spans="1:27" x14ac:dyDescent="0.25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</row>
    <row r="57" spans="1:27" x14ac:dyDescent="0.25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</row>
    <row r="58" spans="1:27" x14ac:dyDescent="0.25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</row>
    <row r="59" spans="1:27" x14ac:dyDescent="0.25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</row>
    <row r="60" spans="1:27" x14ac:dyDescent="0.25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</row>
    <row r="61" spans="1:27" x14ac:dyDescent="0.25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</row>
    <row r="62" spans="1:27" x14ac:dyDescent="0.25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</row>
    <row r="63" spans="1:27" x14ac:dyDescent="0.25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</row>
    <row r="64" spans="1:27" x14ac:dyDescent="0.25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</row>
    <row r="65" spans="1:27" x14ac:dyDescent="0.2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</row>
    <row r="66" spans="1:27" x14ac:dyDescent="0.25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</row>
    <row r="67" spans="1:27" x14ac:dyDescent="0.25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</row>
  </sheetData>
  <sheetProtection algorithmName="SHA-512" hashValue="lMsU+v2T7t1Dir7fedsTlDca8tlxh6trNqiNcSANrCOLzHnxvzsYgPjyrFTk4atU3jQLxkMfbwIyqAA15RWnRQ==" saltValue="EuD9BMQrKVzBpleeNmZwUA==" spinCount="100000" sheet="1" objects="1" scenarios="1" selectLockedCells="1"/>
  <mergeCells count="26">
    <mergeCell ref="Q2:Y3"/>
    <mergeCell ref="K19:M19"/>
    <mergeCell ref="E2:I2"/>
    <mergeCell ref="K2:O2"/>
    <mergeCell ref="K3:O3"/>
    <mergeCell ref="K4:M4"/>
    <mergeCell ref="K6:M6"/>
    <mergeCell ref="K7:M7"/>
    <mergeCell ref="K8:M8"/>
    <mergeCell ref="K9:M9"/>
    <mergeCell ref="K10:M10"/>
    <mergeCell ref="K11:M11"/>
    <mergeCell ref="K12:M12"/>
    <mergeCell ref="K14:O14"/>
    <mergeCell ref="K16:M16"/>
    <mergeCell ref="K18:M18"/>
    <mergeCell ref="K21:M21"/>
    <mergeCell ref="P46:Y46"/>
    <mergeCell ref="B43:I43"/>
    <mergeCell ref="B44:I44"/>
    <mergeCell ref="B46:O46"/>
    <mergeCell ref="K24:O24"/>
    <mergeCell ref="K26:M26"/>
    <mergeCell ref="K30:M30"/>
    <mergeCell ref="K31:M31"/>
    <mergeCell ref="B42:I42"/>
  </mergeCells>
  <pageMargins left="0.7" right="0.7" top="0.75" bottom="0.75" header="0.3" footer="0.3"/>
  <pageSetup paperSize="9" scale="5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Coax Length &amp; Loss Calculator</vt:lpstr>
      <vt:lpstr>'Coax Length &amp; Loss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Burrows</dc:creator>
  <cp:lastModifiedBy>Steve &amp; Jana</cp:lastModifiedBy>
  <dcterms:created xsi:type="dcterms:W3CDTF">2014-11-30T12:20:06Z</dcterms:created>
  <dcterms:modified xsi:type="dcterms:W3CDTF">2019-01-14T19:50:04Z</dcterms:modified>
</cp:coreProperties>
</file>