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a5tb\Dropbox\Documents\Antennas\Mag Loops\AA5TB\"/>
    </mc:Choice>
  </mc:AlternateContent>
  <xr:revisionPtr revIDLastSave="0" documentId="8_{A3EC53C1-DADC-47A3-BE44-07A237CFF935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Main" sheetId="1" r:id="rId1"/>
    <sheet name="Formulas" sheetId="2" r:id="rId2"/>
    <sheet name="Calc1" sheetId="3" r:id="rId3"/>
  </sheets>
  <definedNames>
    <definedName name="eqa" localSheetId="1">Formulas!$C$2</definedName>
    <definedName name="ref" localSheetId="1">Formulas!$B$25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63" i="3" l="1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B11" i="3"/>
  <c r="C58" i="3" s="1"/>
  <c r="D58" i="3" s="1"/>
  <c r="B8" i="3"/>
  <c r="B14" i="3" s="1"/>
  <c r="D14" i="3" s="1"/>
  <c r="B7" i="3"/>
  <c r="B6" i="3"/>
  <c r="D6" i="3" s="1"/>
  <c r="B5" i="3"/>
  <c r="D5" i="3" s="1"/>
  <c r="B4" i="3"/>
  <c r="D4" i="3" s="1"/>
  <c r="F4" i="3" s="1"/>
  <c r="B3" i="3"/>
  <c r="C57" i="1"/>
  <c r="C56" i="1"/>
  <c r="C55" i="1"/>
  <c r="E17" i="1"/>
  <c r="E16" i="1"/>
  <c r="P63" i="3" l="1"/>
  <c r="P55" i="3"/>
  <c r="P47" i="3"/>
  <c r="P39" i="3"/>
  <c r="P38" i="3"/>
  <c r="P56" i="3"/>
  <c r="P48" i="3"/>
  <c r="P40" i="3"/>
  <c r="P45" i="3"/>
  <c r="P57" i="3"/>
  <c r="P49" i="3"/>
  <c r="P41" i="3"/>
  <c r="P61" i="3"/>
  <c r="P58" i="3"/>
  <c r="P50" i="3"/>
  <c r="P42" i="3"/>
  <c r="P34" i="3"/>
  <c r="P54" i="3"/>
  <c r="P46" i="3"/>
  <c r="P59" i="3"/>
  <c r="P51" i="3"/>
  <c r="P43" i="3"/>
  <c r="P35" i="3"/>
  <c r="P53" i="3"/>
  <c r="P62" i="3"/>
  <c r="P60" i="3"/>
  <c r="P52" i="3"/>
  <c r="P44" i="3"/>
  <c r="P36" i="3"/>
  <c r="P37" i="3"/>
  <c r="B15" i="3"/>
  <c r="D15" i="3" s="1"/>
  <c r="C28" i="1" s="1"/>
  <c r="B12" i="3"/>
  <c r="C39" i="3"/>
  <c r="D39" i="3" s="1"/>
  <c r="C47" i="3"/>
  <c r="D47" i="3" s="1"/>
  <c r="C55" i="3"/>
  <c r="D55" i="3" s="1"/>
  <c r="C63" i="3"/>
  <c r="D63" i="3" s="1"/>
  <c r="C56" i="3"/>
  <c r="D56" i="3" s="1"/>
  <c r="C38" i="3"/>
  <c r="D38" i="3" s="1"/>
  <c r="F41" i="3"/>
  <c r="C46" i="3"/>
  <c r="D46" i="3" s="1"/>
  <c r="C54" i="3"/>
  <c r="D54" i="3" s="1"/>
  <c r="F57" i="3"/>
  <c r="C62" i="3"/>
  <c r="D62" i="3" s="1"/>
  <c r="B13" i="3"/>
  <c r="C37" i="3"/>
  <c r="D37" i="3" s="1"/>
  <c r="C45" i="3"/>
  <c r="D45" i="3" s="1"/>
  <c r="C53" i="3"/>
  <c r="D53" i="3" s="1"/>
  <c r="G57" i="3"/>
  <c r="C61" i="3"/>
  <c r="D61" i="3" s="1"/>
  <c r="C41" i="3"/>
  <c r="D41" i="3" s="1"/>
  <c r="C29" i="1"/>
  <c r="E29" i="1" s="1"/>
  <c r="B17" i="3"/>
  <c r="F46" i="3" s="1"/>
  <c r="C36" i="3"/>
  <c r="D36" i="3" s="1"/>
  <c r="F39" i="3"/>
  <c r="C44" i="3"/>
  <c r="D44" i="3" s="1"/>
  <c r="C52" i="3"/>
  <c r="D52" i="3" s="1"/>
  <c r="F55" i="3"/>
  <c r="C60" i="3"/>
  <c r="D60" i="3" s="1"/>
  <c r="C40" i="3"/>
  <c r="D40" i="3" s="1"/>
  <c r="C48" i="3"/>
  <c r="D48" i="3" s="1"/>
  <c r="D8" i="3"/>
  <c r="C35" i="3"/>
  <c r="D35" i="3" s="1"/>
  <c r="C43" i="3"/>
  <c r="D43" i="3" s="1"/>
  <c r="C51" i="3"/>
  <c r="D51" i="3" s="1"/>
  <c r="C59" i="3"/>
  <c r="D59" i="3" s="1"/>
  <c r="C49" i="3"/>
  <c r="D49" i="3" s="1"/>
  <c r="C57" i="3"/>
  <c r="D57" i="3" s="1"/>
  <c r="D11" i="3"/>
  <c r="B9" i="3"/>
  <c r="C34" i="3"/>
  <c r="D34" i="3" s="1"/>
  <c r="C42" i="3"/>
  <c r="D42" i="3" s="1"/>
  <c r="C50" i="3"/>
  <c r="D50" i="3" s="1"/>
  <c r="G46" i="3" l="1"/>
  <c r="H55" i="3"/>
  <c r="J55" i="3" s="1"/>
  <c r="K55" i="3" s="1"/>
  <c r="N55" i="3"/>
  <c r="H57" i="3"/>
  <c r="J57" i="3" s="1"/>
  <c r="K57" i="3" s="1"/>
  <c r="F42" i="3"/>
  <c r="D26" i="3"/>
  <c r="B26" i="3" s="1"/>
  <c r="F62" i="3"/>
  <c r="D17" i="3"/>
  <c r="C31" i="1" s="1"/>
  <c r="F44" i="3"/>
  <c r="F60" i="3"/>
  <c r="F36" i="3"/>
  <c r="F59" i="3"/>
  <c r="F51" i="3"/>
  <c r="F43" i="3"/>
  <c r="F35" i="3"/>
  <c r="F52" i="3"/>
  <c r="B18" i="3"/>
  <c r="F63" i="3"/>
  <c r="F47" i="3"/>
  <c r="D13" i="3"/>
  <c r="C27" i="1" s="1"/>
  <c r="B16" i="3"/>
  <c r="F49" i="3"/>
  <c r="F50" i="3"/>
  <c r="F34" i="3"/>
  <c r="H39" i="3"/>
  <c r="N39" i="3"/>
  <c r="H41" i="3"/>
  <c r="N41" i="3"/>
  <c r="F58" i="3"/>
  <c r="F37" i="3"/>
  <c r="F48" i="3"/>
  <c r="B57" i="3"/>
  <c r="E57" i="3" s="1"/>
  <c r="B49" i="3"/>
  <c r="E49" i="3" s="1"/>
  <c r="B41" i="3"/>
  <c r="E41" i="3" s="1"/>
  <c r="B47" i="3"/>
  <c r="E47" i="3" s="1"/>
  <c r="B39" i="3"/>
  <c r="E39" i="3" s="1"/>
  <c r="B58" i="3"/>
  <c r="E58" i="3" s="1"/>
  <c r="B50" i="3"/>
  <c r="E50" i="3" s="1"/>
  <c r="B42" i="3"/>
  <c r="E42" i="3" s="1"/>
  <c r="B34" i="3"/>
  <c r="E34" i="3" s="1"/>
  <c r="B40" i="3"/>
  <c r="E40" i="3" s="1"/>
  <c r="B59" i="3"/>
  <c r="E59" i="3" s="1"/>
  <c r="B51" i="3"/>
  <c r="E51" i="3" s="1"/>
  <c r="B43" i="3"/>
  <c r="E43" i="3" s="1"/>
  <c r="B35" i="3"/>
  <c r="E35" i="3" s="1"/>
  <c r="B56" i="3"/>
  <c r="E56" i="3" s="1"/>
  <c r="C26" i="1"/>
  <c r="B60" i="3"/>
  <c r="E60" i="3" s="1"/>
  <c r="B52" i="3"/>
  <c r="E52" i="3" s="1"/>
  <c r="B44" i="3"/>
  <c r="E44" i="3" s="1"/>
  <c r="B36" i="3"/>
  <c r="E36" i="3" s="1"/>
  <c r="B61" i="3"/>
  <c r="E61" i="3" s="1"/>
  <c r="B53" i="3"/>
  <c r="E53" i="3" s="1"/>
  <c r="B45" i="3"/>
  <c r="E45" i="3" s="1"/>
  <c r="B37" i="3"/>
  <c r="E37" i="3" s="1"/>
  <c r="D12" i="3"/>
  <c r="E26" i="1" s="1"/>
  <c r="B63" i="3"/>
  <c r="E63" i="3" s="1"/>
  <c r="B48" i="3"/>
  <c r="E48" i="3" s="1"/>
  <c r="B62" i="3"/>
  <c r="E62" i="3" s="1"/>
  <c r="B54" i="3"/>
  <c r="E54" i="3" s="1"/>
  <c r="B46" i="3"/>
  <c r="E46" i="3" s="1"/>
  <c r="B38" i="3"/>
  <c r="E38" i="3" s="1"/>
  <c r="B55" i="3"/>
  <c r="E55" i="3" s="1"/>
  <c r="F53" i="3"/>
  <c r="F56" i="3"/>
  <c r="F40" i="3"/>
  <c r="F45" i="3"/>
  <c r="G39" i="3"/>
  <c r="M60" i="3"/>
  <c r="M52" i="3"/>
  <c r="M44" i="3"/>
  <c r="M36" i="3"/>
  <c r="M43" i="3"/>
  <c r="M35" i="3"/>
  <c r="M61" i="3"/>
  <c r="M53" i="3"/>
  <c r="M45" i="3"/>
  <c r="M37" i="3"/>
  <c r="B23" i="3"/>
  <c r="C32" i="1" s="1"/>
  <c r="M59" i="3"/>
  <c r="M62" i="3"/>
  <c r="M54" i="3"/>
  <c r="M46" i="3"/>
  <c r="M38" i="3"/>
  <c r="B27" i="3"/>
  <c r="C30" i="1" s="1"/>
  <c r="M50" i="3"/>
  <c r="M42" i="3"/>
  <c r="M63" i="3"/>
  <c r="M55" i="3"/>
  <c r="M47" i="3"/>
  <c r="M39" i="3"/>
  <c r="M56" i="3"/>
  <c r="M48" i="3"/>
  <c r="M40" i="3"/>
  <c r="M57" i="3"/>
  <c r="M49" i="3"/>
  <c r="M41" i="3"/>
  <c r="M58" i="3"/>
  <c r="M34" i="3"/>
  <c r="M51" i="3"/>
  <c r="F54" i="3"/>
  <c r="F38" i="3"/>
  <c r="G41" i="3"/>
  <c r="G55" i="3"/>
  <c r="F61" i="3"/>
  <c r="J41" i="3"/>
  <c r="K41" i="3" s="1"/>
  <c r="O39" i="3" l="1"/>
  <c r="I39" i="3"/>
  <c r="B19" i="3"/>
  <c r="D19" i="3" s="1"/>
  <c r="C35" i="1" s="1"/>
  <c r="B21" i="3"/>
  <c r="C34" i="1" s="1"/>
  <c r="C58" i="1" s="1"/>
  <c r="E58" i="1" s="1"/>
  <c r="B20" i="3"/>
  <c r="B24" i="3" s="1"/>
  <c r="G44" i="3"/>
  <c r="N44" i="3"/>
  <c r="H44" i="3"/>
  <c r="J44" i="3"/>
  <c r="K44" i="3" s="1"/>
  <c r="H48" i="3"/>
  <c r="J48" i="3"/>
  <c r="K48" i="3" s="1"/>
  <c r="N48" i="3"/>
  <c r="G48" i="3"/>
  <c r="H34" i="3"/>
  <c r="N34" i="3"/>
  <c r="G34" i="3"/>
  <c r="G52" i="3"/>
  <c r="N52" i="3"/>
  <c r="H52" i="3"/>
  <c r="J52" i="3" s="1"/>
  <c r="K52" i="3" s="1"/>
  <c r="H63" i="3"/>
  <c r="N63" i="3"/>
  <c r="G63" i="3"/>
  <c r="O55" i="3"/>
  <c r="I55" i="3"/>
  <c r="H54" i="3"/>
  <c r="N54" i="3"/>
  <c r="G54" i="3"/>
  <c r="J54" i="3"/>
  <c r="K54" i="3" s="1"/>
  <c r="H58" i="3"/>
  <c r="N58" i="3"/>
  <c r="G58" i="3"/>
  <c r="J58" i="3"/>
  <c r="K58" i="3" s="1"/>
  <c r="H49" i="3"/>
  <c r="J49" i="3" s="1"/>
  <c r="K49" i="3" s="1"/>
  <c r="N49" i="3"/>
  <c r="G49" i="3"/>
  <c r="N43" i="3"/>
  <c r="H43" i="3"/>
  <c r="G43" i="3"/>
  <c r="J43" i="3"/>
  <c r="K43" i="3" s="1"/>
  <c r="N60" i="3"/>
  <c r="G60" i="3"/>
  <c r="H60" i="3"/>
  <c r="J60" i="3"/>
  <c r="K60" i="3" s="1"/>
  <c r="N53" i="3"/>
  <c r="G53" i="3"/>
  <c r="H53" i="3"/>
  <c r="J53" i="3"/>
  <c r="K53" i="3" s="1"/>
  <c r="N38" i="3"/>
  <c r="H38" i="3"/>
  <c r="J38" i="3"/>
  <c r="K38" i="3" s="1"/>
  <c r="G38" i="3"/>
  <c r="N37" i="3"/>
  <c r="H37" i="3"/>
  <c r="G37" i="3"/>
  <c r="J37" i="3"/>
  <c r="K37" i="3" s="1"/>
  <c r="H35" i="3"/>
  <c r="N35" i="3"/>
  <c r="G35" i="3"/>
  <c r="J35" i="3"/>
  <c r="K35" i="3" s="1"/>
  <c r="F16" i="3"/>
  <c r="E25" i="1" s="1"/>
  <c r="D16" i="3"/>
  <c r="C25" i="1" s="1"/>
  <c r="N51" i="3"/>
  <c r="H51" i="3"/>
  <c r="J51" i="3" s="1"/>
  <c r="K51" i="3" s="1"/>
  <c r="G51" i="3"/>
  <c r="H56" i="3"/>
  <c r="N56" i="3"/>
  <c r="G56" i="3"/>
  <c r="I57" i="3"/>
  <c r="H50" i="3"/>
  <c r="J50" i="3" s="1"/>
  <c r="K50" i="3" s="1"/>
  <c r="N50" i="3"/>
  <c r="G50" i="3"/>
  <c r="N45" i="3"/>
  <c r="G45" i="3"/>
  <c r="H45" i="3"/>
  <c r="J45" i="3"/>
  <c r="K45" i="3" s="1"/>
  <c r="I41" i="3"/>
  <c r="O41" i="3"/>
  <c r="N59" i="3"/>
  <c r="H59" i="3"/>
  <c r="G59" i="3"/>
  <c r="H42" i="3"/>
  <c r="J42" i="3" s="1"/>
  <c r="K42" i="3" s="1"/>
  <c r="N42" i="3"/>
  <c r="G42" i="3"/>
  <c r="H46" i="3"/>
  <c r="N62" i="3"/>
  <c r="H62" i="3"/>
  <c r="G62" i="3"/>
  <c r="J62" i="3"/>
  <c r="K62" i="3" s="1"/>
  <c r="N61" i="3"/>
  <c r="H61" i="3"/>
  <c r="J61" i="3" s="1"/>
  <c r="K61" i="3" s="1"/>
  <c r="G61" i="3"/>
  <c r="H40" i="3"/>
  <c r="J40" i="3" s="1"/>
  <c r="K40" i="3" s="1"/>
  <c r="N40" i="3"/>
  <c r="G40" i="3"/>
  <c r="J39" i="3"/>
  <c r="K39" i="3" s="1"/>
  <c r="H47" i="3"/>
  <c r="J47" i="3" s="1"/>
  <c r="K47" i="3" s="1"/>
  <c r="N47" i="3"/>
  <c r="G47" i="3"/>
  <c r="G36" i="3"/>
  <c r="N36" i="3"/>
  <c r="H36" i="3"/>
  <c r="J36" i="3"/>
  <c r="K36" i="3" s="1"/>
  <c r="N57" i="3"/>
  <c r="O57" i="3" s="1"/>
  <c r="N46" i="3"/>
  <c r="C36" i="1" l="1"/>
  <c r="B25" i="3"/>
  <c r="O46" i="3"/>
  <c r="I46" i="3"/>
  <c r="J46" i="3"/>
  <c r="K46" i="3" s="1"/>
  <c r="I56" i="3"/>
  <c r="O56" i="3"/>
  <c r="O60" i="3"/>
  <c r="I60" i="3"/>
  <c r="O63" i="3"/>
  <c r="I63" i="3"/>
  <c r="I34" i="3"/>
  <c r="O34" i="3"/>
  <c r="O38" i="3"/>
  <c r="I38" i="3"/>
  <c r="O47" i="3"/>
  <c r="I47" i="3"/>
  <c r="I50" i="3"/>
  <c r="O50" i="3"/>
  <c r="O52" i="3"/>
  <c r="I52" i="3"/>
  <c r="I51" i="3"/>
  <c r="O51" i="3"/>
  <c r="I42" i="3"/>
  <c r="O42" i="3"/>
  <c r="O45" i="3"/>
  <c r="I45" i="3"/>
  <c r="O53" i="3"/>
  <c r="I53" i="3"/>
  <c r="I48" i="3"/>
  <c r="O48" i="3"/>
  <c r="I59" i="3"/>
  <c r="O59" i="3"/>
  <c r="I35" i="3"/>
  <c r="O35" i="3"/>
  <c r="C33" i="1"/>
  <c r="B22" i="3"/>
  <c r="D22" i="3" s="1"/>
  <c r="C24" i="1" s="1"/>
  <c r="J59" i="3"/>
  <c r="K59" i="3" s="1"/>
  <c r="O37" i="3"/>
  <c r="I37" i="3"/>
  <c r="I43" i="3"/>
  <c r="O43" i="3"/>
  <c r="J34" i="3"/>
  <c r="K34" i="3" s="1"/>
  <c r="I40" i="3"/>
  <c r="O40" i="3"/>
  <c r="O61" i="3"/>
  <c r="I61" i="3"/>
  <c r="I49" i="3"/>
  <c r="O49" i="3"/>
  <c r="O54" i="3"/>
  <c r="I54" i="3"/>
  <c r="O36" i="3"/>
  <c r="I36" i="3"/>
  <c r="O62" i="3"/>
  <c r="I62" i="3"/>
  <c r="J56" i="3"/>
  <c r="K56" i="3" s="1"/>
  <c r="I58" i="3"/>
  <c r="O58" i="3"/>
  <c r="J63" i="3"/>
  <c r="K63" i="3" s="1"/>
  <c r="I44" i="3"/>
  <c r="O44" i="3"/>
  <c r="D25" i="3" l="1"/>
  <c r="C37" i="1" s="1"/>
  <c r="F25" i="3"/>
  <c r="E37" i="1" s="1"/>
</calcChain>
</file>

<file path=xl/sharedStrings.xml><?xml version="1.0" encoding="utf-8"?>
<sst xmlns="http://schemas.openxmlformats.org/spreadsheetml/2006/main" count="231" uniqueCount="178">
  <si>
    <t>by Steve Yates, AA5TB</t>
  </si>
  <si>
    <t>corrections by Kai Siwiak, KE4PT</t>
  </si>
  <si>
    <t>Modified May 1, 2019 by Kai Siwiak, KE4PT.</t>
  </si>
  <si>
    <t>Added input: Conductor conductivity as a  "% of copper conductivity"</t>
  </si>
  <si>
    <t>Added display of "Q(no loss)", which equals Q(radiation)</t>
  </si>
  <si>
    <r>
      <rPr>
        <i/>
        <sz val="10"/>
        <rFont val="Arial"/>
      </rPr>
      <t xml:space="preserve">To </t>
    </r>
    <r>
      <rPr>
        <b/>
        <i/>
        <u/>
        <sz val="10"/>
        <rFont val="Arial"/>
      </rPr>
      <t>measure</t>
    </r>
    <r>
      <rPr>
        <i/>
        <sz val="10"/>
        <rFont val="Arial"/>
      </rPr>
      <t xml:space="preserve"> your Loop efficiency, start with </t>
    </r>
    <r>
      <rPr>
        <b/>
        <i/>
        <sz val="10"/>
        <rFont val="Arial"/>
      </rPr>
      <t>Note (5)</t>
    </r>
    <r>
      <rPr>
        <i/>
        <sz val="10"/>
        <rFont val="Arial"/>
      </rPr>
      <t xml:space="preserve"> below.</t>
    </r>
  </si>
  <si>
    <t>Corrected self capacitance term, and subtracted it from Ctune</t>
  </si>
  <si>
    <t>Added calculation of Null Depth on the Calc1 sheet</t>
  </si>
  <si>
    <t>Input the following parameters:</t>
  </si>
  <si>
    <t>Design Frequency =</t>
  </si>
  <si>
    <t>MHz</t>
  </si>
  <si>
    <t>(see NOTE 5)</t>
  </si>
  <si>
    <t>Loop Diameter =</t>
  </si>
  <si>
    <t>feet</t>
  </si>
  <si>
    <t>m</t>
  </si>
  <si>
    <t>Conductor Diameter =</t>
  </si>
  <si>
    <t>inches</t>
  </si>
  <si>
    <t>mm</t>
  </si>
  <si>
    <t>Conductor conductivity =</t>
  </si>
  <si>
    <t>% of copper conductivity</t>
  </si>
  <si>
    <t>Added Loss Resistance =</t>
  </si>
  <si>
    <t>milliohms</t>
  </si>
  <si>
    <t xml:space="preserve">RF Power = </t>
  </si>
  <si>
    <t>Watts</t>
  </si>
  <si>
    <t>Calculated Results:</t>
  </si>
  <si>
    <t>See Calc1 sheet for Null Depth =  -20log10(2*pi*D)</t>
  </si>
  <si>
    <t>Bandwidth =</t>
  </si>
  <si>
    <t>kHz (-3 dB points)</t>
  </si>
  <si>
    <t>Efficiency =</t>
  </si>
  <si>
    <t>%</t>
  </si>
  <si>
    <t>dB</t>
  </si>
  <si>
    <t>Loop Area =</t>
  </si>
  <si>
    <t>ft²</t>
  </si>
  <si>
    <t>m²</t>
  </si>
  <si>
    <t>Radiation Resistance =</t>
  </si>
  <si>
    <t>mΩ</t>
  </si>
  <si>
    <t>Total Loss Resistance =</t>
  </si>
  <si>
    <t>Loop Circumference =</t>
  </si>
  <si>
    <t xml:space="preserve">ft </t>
  </si>
  <si>
    <t>Wavelength Percentage =</t>
  </si>
  <si>
    <t>% λ</t>
  </si>
  <si>
    <t>Loop dc Inductance =</t>
  </si>
  <si>
    <t>μH</t>
  </si>
  <si>
    <t>Distributed Capacitance =</t>
  </si>
  <si>
    <r>
      <rPr>
        <sz val="10"/>
        <rFont val="Arial"/>
      </rPr>
      <t xml:space="preserve">pF [ </t>
    </r>
    <r>
      <rPr>
        <b/>
        <sz val="10"/>
        <rFont val="Arial"/>
      </rPr>
      <t>Note 6 and 7</t>
    </r>
    <r>
      <rPr>
        <sz val="10"/>
        <rFont val="Arial"/>
      </rPr>
      <t>]</t>
    </r>
  </si>
  <si>
    <t>QL (Quality Factor) =</t>
  </si>
  <si>
    <t>QL (no loss)            =</t>
  </si>
  <si>
    <t>Q(radiation)</t>
  </si>
  <si>
    <t>Total tuning Capacitor =</t>
  </si>
  <si>
    <t>pF</t>
  </si>
  <si>
    <t>Capacitor Voltage =</t>
  </si>
  <si>
    <t>V rms</t>
  </si>
  <si>
    <t>Minimum Plate Spacing =</t>
  </si>
  <si>
    <t>mils (1/1000 in)</t>
  </si>
  <si>
    <t>Notes:</t>
  </si>
  <si>
    <r>
      <rPr>
        <sz val="10"/>
        <rFont val="Arial"/>
      </rPr>
      <t xml:space="preserve">1. To truly be considered a small loop, the </t>
    </r>
    <r>
      <rPr>
        <b/>
        <sz val="10"/>
        <rFont val="Arial"/>
      </rPr>
      <t>Loop Circumference</t>
    </r>
    <r>
      <rPr>
        <sz val="10"/>
        <rFont val="Arial"/>
      </rPr>
      <t xml:space="preserve"> should be less </t>
    </r>
  </si>
  <si>
    <t xml:space="preserve">    then 10 % λ.  Larger loops will have greater efficiency but smaller nulls. </t>
  </si>
  <si>
    <r>
      <rPr>
        <sz val="10"/>
        <rFont val="Arial"/>
      </rPr>
      <t xml:space="preserve">2. To see the effects of bad joints, etc., input realistic values into the </t>
    </r>
    <r>
      <rPr>
        <b/>
        <sz val="10"/>
        <rFont val="Arial"/>
      </rPr>
      <t xml:space="preserve">Added  </t>
    </r>
  </si>
  <si>
    <r>
      <rPr>
        <b/>
        <sz val="10"/>
        <rFont val="Arial"/>
      </rPr>
      <t xml:space="preserve">    Loss Resistance</t>
    </r>
    <r>
      <rPr>
        <sz val="10"/>
        <rFont val="Arial"/>
      </rPr>
      <t xml:space="preserve"> box.</t>
    </r>
  </si>
  <si>
    <t>3. The sheets are protected to prevent the user that is unfamiliar with Excel from</t>
  </si>
  <si>
    <r>
      <rPr>
        <sz val="10"/>
        <rFont val="Arial"/>
      </rPr>
      <t xml:space="preserve">    accidentally</t>
    </r>
    <r>
      <rPr>
        <b/>
        <sz val="10"/>
        <rFont val="Arial"/>
      </rPr>
      <t xml:space="preserve"> </t>
    </r>
    <r>
      <rPr>
        <sz val="10"/>
        <rFont val="Arial"/>
      </rPr>
      <t xml:space="preserve">corrupting formulas.  To unlock the sheets use the password </t>
    </r>
    <r>
      <rPr>
        <b/>
        <sz val="10"/>
        <rFont val="Arial"/>
      </rPr>
      <t>aa5tb</t>
    </r>
    <r>
      <rPr>
        <sz val="10"/>
        <rFont val="Arial"/>
      </rPr>
      <t>.</t>
    </r>
  </si>
  <si>
    <t>4. This application is free to use as you wish.  If you modify it and pass it on all</t>
  </si>
  <si>
    <r>
      <rPr>
        <b/>
        <sz val="10"/>
        <rFont val="Arial"/>
      </rPr>
      <t xml:space="preserve">    </t>
    </r>
    <r>
      <rPr>
        <sz val="10"/>
        <rFont val="Arial"/>
      </rPr>
      <t>that I ask is that you give me credit for my part of the work. Thanks!</t>
    </r>
  </si>
  <si>
    <t>5. Divide your measured Q by "Q (no loss)" to find the efficiency of your loop.</t>
  </si>
  <si>
    <t xml:space="preserve">    Enter F(low), kHz, and F(high), kHz, on each side of resonance where VSWR = 2.62 </t>
  </si>
  <si>
    <t>Input:       F(low)  =</t>
  </si>
  <si>
    <t>kHz</t>
  </si>
  <si>
    <t>Input:      F(high)  =</t>
  </si>
  <si>
    <t>Center Frequency =</t>
  </si>
  <si>
    <t>Input this as "DESIGN Frequency"</t>
  </si>
  <si>
    <t>Measured Bandwidth =</t>
  </si>
  <si>
    <t>Measured Q =</t>
  </si>
  <si>
    <t>Measured efficiency =</t>
  </si>
  <si>
    <t>6.  The original distributed capacitance was an over-estimate based on Ted Hart's equation.</t>
  </si>
  <si>
    <t>7.  Corrected self capacitance based on self-resonance in Storer/Siwiak papers. C=8.92 b[meters] pF</t>
  </si>
  <si>
    <t>Small Loop Equations for a Copper Loop</t>
  </si>
  <si>
    <t xml:space="preserve">(circular loop assumed, results may vary with other shapes) </t>
  </si>
  <si>
    <r>
      <rPr>
        <sz val="10"/>
        <rFont val="Comic Sans MS"/>
        <family val="4"/>
      </rPr>
      <t>Radiation Resistance, Ohms: R</t>
    </r>
    <r>
      <rPr>
        <sz val="7.5"/>
        <rFont val="Comic Sans MS"/>
        <family val="4"/>
      </rPr>
      <t>R</t>
    </r>
    <r>
      <rPr>
        <sz val="10"/>
        <rFont val="Comic Sans MS"/>
        <family val="4"/>
      </rPr>
      <t xml:space="preserve"> = (3.38×10↑-8)(f²A)²</t>
    </r>
  </si>
  <si>
    <r>
      <rPr>
        <sz val="10"/>
        <rFont val="Comic Sans MS"/>
        <family val="4"/>
      </rPr>
      <t>Loss Resistance, Ohms: R</t>
    </r>
    <r>
      <rPr>
        <sz val="7.5"/>
        <rFont val="Comic Sans MS"/>
        <family val="4"/>
      </rPr>
      <t>L</t>
    </r>
    <r>
      <rPr>
        <sz val="10"/>
        <rFont val="Comic Sans MS"/>
        <family val="4"/>
      </rPr>
      <t xml:space="preserve"> = (9.96×10↑-4)(√f)(S/d)</t>
    </r>
  </si>
  <si>
    <t>assumes bulk copper 58x10^6 mho/m conductivity</t>
  </si>
  <si>
    <r>
      <rPr>
        <sz val="10"/>
        <rFont val="Comic Sans MS"/>
        <family val="4"/>
      </rPr>
      <t>Efficiency: η = R</t>
    </r>
    <r>
      <rPr>
        <sz val="7.5"/>
        <rFont val="Comic Sans MS"/>
        <family val="4"/>
      </rPr>
      <t>R</t>
    </r>
    <r>
      <rPr>
        <sz val="10"/>
        <rFont val="Comic Sans MS"/>
        <family val="4"/>
      </rPr>
      <t>/(R</t>
    </r>
    <r>
      <rPr>
        <sz val="7.5"/>
        <rFont val="Comic Sans MS"/>
        <family val="4"/>
      </rPr>
      <t>R</t>
    </r>
    <r>
      <rPr>
        <sz val="10"/>
        <rFont val="Comic Sans MS"/>
        <family val="4"/>
      </rPr>
      <t>+R</t>
    </r>
    <r>
      <rPr>
        <sz val="7.5"/>
        <rFont val="Comic Sans MS"/>
        <family val="4"/>
      </rPr>
      <t>L</t>
    </r>
    <r>
      <rPr>
        <sz val="10"/>
        <rFont val="Comic Sans MS"/>
        <family val="4"/>
      </rPr>
      <t>)</t>
    </r>
  </si>
  <si>
    <r>
      <rPr>
        <sz val="10"/>
        <rFont val="Comic Sans MS"/>
        <family val="4"/>
      </rPr>
      <t>Inductance, Henrys: L = (1.9×10↑-8)S[7.353log</t>
    </r>
    <r>
      <rPr>
        <sz val="7.5"/>
        <rFont val="Comic Sans MS"/>
        <family val="4"/>
      </rPr>
      <t>10</t>
    </r>
    <r>
      <rPr>
        <sz val="10"/>
        <rFont val="Comic Sans MS"/>
        <family val="4"/>
      </rPr>
      <t>(96S/πd)-6.386]</t>
    </r>
  </si>
  <si>
    <r>
      <rPr>
        <sz val="10"/>
        <rFont val="Comic Sans MS"/>
        <family val="4"/>
      </rPr>
      <t>Inductive Reactance, Ohms: X</t>
    </r>
    <r>
      <rPr>
        <sz val="7.5"/>
        <rFont val="Comic Sans MS"/>
        <family val="4"/>
      </rPr>
      <t>L</t>
    </r>
    <r>
      <rPr>
        <sz val="10"/>
        <rFont val="Comic Sans MS"/>
        <family val="4"/>
      </rPr>
      <t xml:space="preserve"> = 2πf(L×10↑6)</t>
    </r>
  </si>
  <si>
    <r>
      <rPr>
        <sz val="10"/>
        <rFont val="Comic Sans MS"/>
        <family val="4"/>
      </rPr>
      <t>Tuning Capacitance, Farads: C</t>
    </r>
    <r>
      <rPr>
        <sz val="7.5"/>
        <rFont val="Comic Sans MS"/>
        <family val="4"/>
      </rPr>
      <t>T</t>
    </r>
    <r>
      <rPr>
        <sz val="10"/>
        <rFont val="Comic Sans MS"/>
        <family val="4"/>
      </rPr>
      <t xml:space="preserve"> = 1/2πf(X</t>
    </r>
    <r>
      <rPr>
        <sz val="8"/>
        <rFont val="Comic Sans MS"/>
        <family val="4"/>
      </rPr>
      <t>L</t>
    </r>
    <r>
      <rPr>
        <sz val="10"/>
        <rFont val="Comic Sans MS"/>
        <family val="4"/>
      </rPr>
      <t>×10↑6)</t>
    </r>
  </si>
  <si>
    <t>This includes the distributed capacitance</t>
  </si>
  <si>
    <r>
      <rPr>
        <sz val="10"/>
        <rFont val="Comic Sans MS"/>
        <family val="4"/>
      </rPr>
      <t>Quality Factor: Q = (f×10↑6)/Δf = X</t>
    </r>
    <r>
      <rPr>
        <sz val="7.5"/>
        <rFont val="Comic Sans MS"/>
        <family val="4"/>
      </rPr>
      <t>L</t>
    </r>
    <r>
      <rPr>
        <sz val="10"/>
        <rFont val="Comic Sans MS"/>
        <family val="4"/>
      </rPr>
      <t>/2(R</t>
    </r>
    <r>
      <rPr>
        <sz val="7.5"/>
        <rFont val="Comic Sans MS"/>
        <family val="4"/>
      </rPr>
      <t>R</t>
    </r>
    <r>
      <rPr>
        <sz val="10"/>
        <rFont val="Comic Sans MS"/>
        <family val="4"/>
      </rPr>
      <t xml:space="preserve"> + R</t>
    </r>
    <r>
      <rPr>
        <sz val="7.5"/>
        <rFont val="Comic Sans MS"/>
        <family val="4"/>
      </rPr>
      <t>L</t>
    </r>
    <r>
      <rPr>
        <sz val="10"/>
        <rFont val="Comic Sans MS"/>
        <family val="4"/>
      </rPr>
      <t>)</t>
    </r>
  </si>
  <si>
    <r>
      <rPr>
        <sz val="10"/>
        <rFont val="Comic Sans MS"/>
        <family val="4"/>
      </rPr>
      <t>Bandwidth, Hertz: Δf = (f×10↑6)/Q = [(f</t>
    </r>
    <r>
      <rPr>
        <sz val="7.5"/>
        <rFont val="Comic Sans MS"/>
        <family val="4"/>
      </rPr>
      <t>1</t>
    </r>
    <r>
      <rPr>
        <sz val="10"/>
        <rFont val="Comic Sans MS"/>
        <family val="4"/>
      </rPr>
      <t>-f</t>
    </r>
    <r>
      <rPr>
        <sz val="7.5"/>
        <rFont val="Comic Sans MS"/>
        <family val="4"/>
      </rPr>
      <t>2</t>
    </r>
    <r>
      <rPr>
        <sz val="10"/>
        <rFont val="Comic Sans MS"/>
        <family val="4"/>
      </rPr>
      <t>)×10↑6]</t>
    </r>
  </si>
  <si>
    <r>
      <rPr>
        <sz val="10"/>
        <rFont val="Comic Sans MS"/>
        <family val="4"/>
      </rPr>
      <t>Distributed Capacity: pF: C</t>
    </r>
    <r>
      <rPr>
        <sz val="7.5"/>
        <rFont val="Comic Sans MS"/>
        <family val="4"/>
      </rPr>
      <t>D</t>
    </r>
    <r>
      <rPr>
        <sz val="10"/>
        <rFont val="Comic Sans MS"/>
        <family val="4"/>
      </rPr>
      <t xml:space="preserve"> = </t>
    </r>
    <r>
      <rPr>
        <sz val="10"/>
        <color rgb="FFCE181E"/>
        <rFont val="Comic Sans MS"/>
        <family val="4"/>
      </rPr>
      <t>8.92 * radius</t>
    </r>
  </si>
  <si>
    <t>see Note 7</t>
  </si>
  <si>
    <r>
      <rPr>
        <sz val="10"/>
        <rFont val="Comic Sans MS"/>
        <family val="4"/>
      </rPr>
      <t>Capacitor Potential, Volts: V</t>
    </r>
    <r>
      <rPr>
        <sz val="7.5"/>
        <rFont val="Comic Sans MS"/>
        <family val="4"/>
      </rPr>
      <t>C</t>
    </r>
    <r>
      <rPr>
        <sz val="10"/>
        <rFont val="Comic Sans MS"/>
        <family val="4"/>
      </rPr>
      <t xml:space="preserve"> = √(PX</t>
    </r>
    <r>
      <rPr>
        <sz val="7.5"/>
        <rFont val="Comic Sans MS"/>
        <family val="4"/>
      </rPr>
      <t>L</t>
    </r>
    <r>
      <rPr>
        <sz val="10"/>
        <rFont val="Comic Sans MS"/>
        <family val="4"/>
      </rPr>
      <t>Q)</t>
    </r>
  </si>
  <si>
    <t>This is the RMS value</t>
  </si>
  <si>
    <t>Capacitor Voltage Rating: 75,000V/in</t>
  </si>
  <si>
    <t>Null Depth =  -20log10(2*pi*D)</t>
  </si>
  <si>
    <t xml:space="preserve">where </t>
  </si>
  <si>
    <t>f = operating frequency, MHz</t>
  </si>
  <si>
    <t>A = area of loop, square feet</t>
  </si>
  <si>
    <t>S = conductor length, feet</t>
  </si>
  <si>
    <t>d = conductor diameter, inches</t>
  </si>
  <si>
    <r>
      <rPr>
        <sz val="10"/>
        <rFont val="Comic Sans MS"/>
        <family val="4"/>
      </rPr>
      <t>η = decimal value; dB = 10 log</t>
    </r>
    <r>
      <rPr>
        <sz val="7.5"/>
        <rFont val="Comic Sans MS"/>
        <family val="4"/>
      </rPr>
      <t>10</t>
    </r>
    <r>
      <rPr>
        <sz val="10"/>
        <rFont val="Comic Sans MS"/>
        <family val="4"/>
      </rPr>
      <t>η</t>
    </r>
  </si>
  <si>
    <t>P = transmitter power, Watts</t>
  </si>
  <si>
    <t>D = loop diameter, meters</t>
  </si>
  <si>
    <t xml:space="preserve">Ref. </t>
  </si>
  <si>
    <t xml:space="preserve">The American Radio Relay League, The ARRL Antenna Handbook, </t>
  </si>
  <si>
    <t xml:space="preserve">Small High Efficiency Loop Antennas for Transmitting,  </t>
  </si>
  <si>
    <t>Publication No. 15, p. 5-14, Table 4, 1988</t>
  </si>
  <si>
    <t>Givens:</t>
  </si>
  <si>
    <r>
      <rPr>
        <b/>
        <sz val="10"/>
        <rFont val="Arial"/>
      </rPr>
      <t>π</t>
    </r>
    <r>
      <rPr>
        <sz val="10"/>
        <rFont val="Arial"/>
      </rPr>
      <t xml:space="preserve"> =</t>
    </r>
  </si>
  <si>
    <t>Null constant pi*D</t>
  </si>
  <si>
    <r>
      <rPr>
        <sz val="10"/>
        <rFont val="Arial"/>
      </rPr>
      <t xml:space="preserve">Loop Diameter </t>
    </r>
    <r>
      <rPr>
        <b/>
        <sz val="10"/>
        <rFont val="Arial"/>
      </rPr>
      <t>D</t>
    </r>
    <r>
      <rPr>
        <sz val="10"/>
        <rFont val="Arial"/>
      </rPr>
      <t>=</t>
    </r>
  </si>
  <si>
    <r>
      <rPr>
        <sz val="10"/>
        <rFont val="Arial"/>
      </rPr>
      <t xml:space="preserve">Conductor Diameter </t>
    </r>
    <r>
      <rPr>
        <b/>
        <sz val="10"/>
        <rFont val="Arial"/>
      </rPr>
      <t>d</t>
    </r>
    <r>
      <rPr>
        <sz val="10"/>
        <rFont val="Arial"/>
      </rPr>
      <t>=</t>
    </r>
  </si>
  <si>
    <r>
      <rPr>
        <sz val="10"/>
        <rFont val="Arial"/>
      </rPr>
      <t xml:space="preserve">Added Loss Resistance </t>
    </r>
    <r>
      <rPr>
        <b/>
        <sz val="10"/>
        <rFont val="Arial"/>
      </rPr>
      <t>R</t>
    </r>
    <r>
      <rPr>
        <b/>
        <sz val="8"/>
        <rFont val="Arial"/>
      </rPr>
      <t>L</t>
    </r>
    <r>
      <rPr>
        <sz val="10"/>
        <rFont val="Arial"/>
      </rPr>
      <t>=</t>
    </r>
  </si>
  <si>
    <t>Ω</t>
  </si>
  <si>
    <r>
      <rPr>
        <sz val="10"/>
        <rFont val="Arial"/>
      </rPr>
      <t xml:space="preserve">RF Power </t>
    </r>
    <r>
      <rPr>
        <b/>
        <sz val="10"/>
        <rFont val="Arial"/>
      </rPr>
      <t>P</t>
    </r>
    <r>
      <rPr>
        <sz val="10"/>
        <rFont val="Arial"/>
      </rPr>
      <t>=</t>
    </r>
  </si>
  <si>
    <r>
      <rPr>
        <sz val="10"/>
        <rFont val="Arial"/>
      </rPr>
      <t xml:space="preserve">Frequency </t>
    </r>
    <r>
      <rPr>
        <b/>
        <sz val="10"/>
        <rFont val="Arial"/>
      </rPr>
      <t>F</t>
    </r>
    <r>
      <rPr>
        <sz val="10"/>
        <rFont val="Arial"/>
      </rPr>
      <t>=</t>
    </r>
  </si>
  <si>
    <t>Hz</t>
  </si>
  <si>
    <t>Calculations:</t>
  </si>
  <si>
    <r>
      <rPr>
        <sz val="10"/>
        <rFont val="Arial"/>
      </rPr>
      <t xml:space="preserve">Loop Circumference </t>
    </r>
    <r>
      <rPr>
        <b/>
        <sz val="10"/>
        <rFont val="Arial"/>
      </rPr>
      <t>S</t>
    </r>
    <r>
      <rPr>
        <sz val="10"/>
        <rFont val="Arial"/>
      </rPr>
      <t xml:space="preserve">= </t>
    </r>
  </si>
  <si>
    <t>ft</t>
  </si>
  <si>
    <r>
      <rPr>
        <sz val="10"/>
        <rFont val="Arial"/>
      </rPr>
      <t xml:space="preserve">Loop Area </t>
    </r>
    <r>
      <rPr>
        <b/>
        <sz val="10"/>
        <rFont val="Arial"/>
      </rPr>
      <t>A</t>
    </r>
    <r>
      <rPr>
        <sz val="10"/>
        <rFont val="Arial"/>
      </rPr>
      <t>=</t>
    </r>
  </si>
  <si>
    <r>
      <rPr>
        <sz val="10"/>
        <rFont val="Arial"/>
      </rPr>
      <t xml:space="preserve">Radiation Resistance </t>
    </r>
    <r>
      <rPr>
        <b/>
        <sz val="10"/>
        <rFont val="Arial"/>
      </rPr>
      <t>R</t>
    </r>
    <r>
      <rPr>
        <b/>
        <sz val="8"/>
        <rFont val="Arial"/>
      </rPr>
      <t>R</t>
    </r>
    <r>
      <rPr>
        <sz val="10"/>
        <rFont val="Arial"/>
      </rPr>
      <t>=</t>
    </r>
  </si>
  <si>
    <r>
      <rPr>
        <sz val="10"/>
        <rFont val="Arial"/>
      </rPr>
      <t xml:space="preserve">Loss Resistance </t>
    </r>
    <r>
      <rPr>
        <b/>
        <sz val="10"/>
        <rFont val="Arial"/>
      </rPr>
      <t>R</t>
    </r>
    <r>
      <rPr>
        <b/>
        <sz val="8"/>
        <rFont val="Arial"/>
      </rPr>
      <t>L=</t>
    </r>
  </si>
  <si>
    <r>
      <rPr>
        <sz val="10"/>
        <rFont val="Arial"/>
      </rPr>
      <t xml:space="preserve">Total Loss Resistance </t>
    </r>
    <r>
      <rPr>
        <b/>
        <sz val="10"/>
        <rFont val="Arial"/>
      </rPr>
      <t>R</t>
    </r>
    <r>
      <rPr>
        <b/>
        <sz val="8"/>
        <rFont val="Arial"/>
      </rPr>
      <t>T</t>
    </r>
    <r>
      <rPr>
        <sz val="10"/>
        <rFont val="Arial"/>
      </rPr>
      <t>=</t>
    </r>
  </si>
  <si>
    <r>
      <rPr>
        <sz val="10"/>
        <rFont val="Arial"/>
      </rPr>
      <t xml:space="preserve">Efficiency </t>
    </r>
    <r>
      <rPr>
        <b/>
        <sz val="10"/>
        <rFont val="Arial"/>
      </rPr>
      <t>η</t>
    </r>
    <r>
      <rPr>
        <sz val="10"/>
        <rFont val="Arial"/>
      </rPr>
      <t>=</t>
    </r>
  </si>
  <si>
    <r>
      <rPr>
        <sz val="10"/>
        <rFont val="Arial"/>
      </rPr>
      <t xml:space="preserve">Inductance </t>
    </r>
    <r>
      <rPr>
        <b/>
        <sz val="10"/>
        <rFont val="Arial"/>
      </rPr>
      <t>L</t>
    </r>
    <r>
      <rPr>
        <sz val="10"/>
        <rFont val="Arial"/>
      </rPr>
      <t>=</t>
    </r>
  </si>
  <si>
    <t>H</t>
  </si>
  <si>
    <r>
      <rPr>
        <sz val="10"/>
        <rFont val="Arial"/>
      </rPr>
      <t xml:space="preserve">Inductive Reactance </t>
    </r>
    <r>
      <rPr>
        <b/>
        <sz val="10"/>
        <rFont val="Arial"/>
      </rPr>
      <t>X</t>
    </r>
    <r>
      <rPr>
        <b/>
        <sz val="8"/>
        <rFont val="Arial"/>
      </rPr>
      <t>L</t>
    </r>
    <r>
      <rPr>
        <sz val="10"/>
        <rFont val="Arial"/>
      </rPr>
      <t>=</t>
    </r>
  </si>
  <si>
    <r>
      <rPr>
        <sz val="10"/>
        <rFont val="Arial"/>
      </rPr>
      <t xml:space="preserve">Tuning Capacitor </t>
    </r>
    <r>
      <rPr>
        <b/>
        <sz val="10"/>
        <rFont val="Arial"/>
      </rPr>
      <t>C</t>
    </r>
    <r>
      <rPr>
        <b/>
        <sz val="8"/>
        <rFont val="Arial"/>
      </rPr>
      <t>T</t>
    </r>
    <r>
      <rPr>
        <sz val="10"/>
        <rFont val="Arial"/>
      </rPr>
      <t>=</t>
    </r>
  </si>
  <si>
    <t>F</t>
  </si>
  <si>
    <t>ρF</t>
  </si>
  <si>
    <t>This is the tuning + distributed capacitance</t>
  </si>
  <si>
    <r>
      <rPr>
        <sz val="10"/>
        <rFont val="Arial"/>
      </rPr>
      <t xml:space="preserve">(loaded) Quality Factor </t>
    </r>
    <r>
      <rPr>
        <b/>
        <sz val="10"/>
        <rFont val="Arial"/>
      </rPr>
      <t>Q</t>
    </r>
    <r>
      <rPr>
        <sz val="10"/>
        <rFont val="Arial"/>
      </rPr>
      <t>=</t>
    </r>
  </si>
  <si>
    <t>Q(no loss)    =</t>
  </si>
  <si>
    <r>
      <rPr>
        <sz val="10"/>
        <rFont val="Arial"/>
      </rPr>
      <t xml:space="preserve">Bandwidth </t>
    </r>
    <r>
      <rPr>
        <b/>
        <sz val="8"/>
        <rFont val="Arial"/>
      </rPr>
      <t>Δ</t>
    </r>
    <r>
      <rPr>
        <b/>
        <sz val="10"/>
        <rFont val="Arial"/>
      </rPr>
      <t>F</t>
    </r>
    <r>
      <rPr>
        <sz val="10"/>
        <rFont val="Arial"/>
      </rPr>
      <t xml:space="preserve">= </t>
    </r>
  </si>
  <si>
    <r>
      <rPr>
        <sz val="10"/>
        <rFont val="Arial"/>
      </rPr>
      <t>Distributed Capacity</t>
    </r>
    <r>
      <rPr>
        <b/>
        <sz val="10"/>
        <rFont val="Arial"/>
      </rPr>
      <t xml:space="preserve"> C</t>
    </r>
    <r>
      <rPr>
        <b/>
        <sz val="8"/>
        <rFont val="Arial"/>
      </rPr>
      <t>D</t>
    </r>
    <r>
      <rPr>
        <sz val="10"/>
        <rFont val="Arial"/>
      </rPr>
      <t>=</t>
    </r>
  </si>
  <si>
    <t>corrected/ Kai CD=8.92*radius</t>
  </si>
  <si>
    <r>
      <rPr>
        <sz val="10"/>
        <rFont val="Arial"/>
      </rPr>
      <t xml:space="preserve">Capacitor Potential </t>
    </r>
    <r>
      <rPr>
        <b/>
        <sz val="10"/>
        <rFont val="Arial"/>
      </rPr>
      <t>V</t>
    </r>
    <r>
      <rPr>
        <b/>
        <sz val="8"/>
        <rFont val="Arial"/>
      </rPr>
      <t>C</t>
    </r>
    <r>
      <rPr>
        <sz val="10"/>
        <rFont val="Arial"/>
      </rPr>
      <t>=</t>
    </r>
  </si>
  <si>
    <t>V</t>
  </si>
  <si>
    <r>
      <rPr>
        <sz val="10"/>
        <rFont val="Arial"/>
      </rPr>
      <t xml:space="preserve">Minimum Plate Spacing </t>
    </r>
    <r>
      <rPr>
        <b/>
        <sz val="10"/>
        <rFont val="Arial"/>
      </rPr>
      <t>P</t>
    </r>
    <r>
      <rPr>
        <b/>
        <sz val="8"/>
        <rFont val="Arial"/>
      </rPr>
      <t>S</t>
    </r>
    <r>
      <rPr>
        <sz val="10"/>
        <rFont val="Arial"/>
      </rPr>
      <t>=</t>
    </r>
  </si>
  <si>
    <t>in</t>
  </si>
  <si>
    <t>mils</t>
  </si>
  <si>
    <r>
      <rPr>
        <sz val="10"/>
        <rFont val="Arial"/>
      </rPr>
      <t xml:space="preserve">Wavelength </t>
    </r>
    <r>
      <rPr>
        <b/>
        <sz val="10"/>
        <rFont val="Arial"/>
      </rPr>
      <t>λ</t>
    </r>
    <r>
      <rPr>
        <sz val="10"/>
        <rFont val="Arial"/>
      </rPr>
      <t>=</t>
    </r>
  </si>
  <si>
    <r>
      <rPr>
        <sz val="10"/>
        <rFont val="Arial"/>
      </rPr>
      <t xml:space="preserve">Circumference % </t>
    </r>
    <r>
      <rPr>
        <b/>
        <sz val="10"/>
        <rFont val="Arial"/>
      </rPr>
      <t>λ</t>
    </r>
    <r>
      <rPr>
        <sz val="10"/>
        <rFont val="Arial"/>
      </rPr>
      <t>=</t>
    </r>
  </si>
  <si>
    <t>Radiation</t>
  </si>
  <si>
    <t>Loss</t>
  </si>
  <si>
    <t>Total Loss</t>
  </si>
  <si>
    <t>Inductive</t>
  </si>
  <si>
    <t>Tuning</t>
  </si>
  <si>
    <t>Quality</t>
  </si>
  <si>
    <t>Capacitor</t>
  </si>
  <si>
    <t>Minimum</t>
  </si>
  <si>
    <t>Frequency</t>
  </si>
  <si>
    <t>Resistance</t>
  </si>
  <si>
    <t>Efficiency</t>
  </si>
  <si>
    <t>Reactance</t>
  </si>
  <si>
    <t>Factor</t>
  </si>
  <si>
    <t>Bandwidth</t>
  </si>
  <si>
    <t>Potential</t>
  </si>
  <si>
    <t>Spacing</t>
  </si>
  <si>
    <t>Wavelength</t>
  </si>
  <si>
    <t>Circumference</t>
  </si>
  <si>
    <t>Qradiation=</t>
  </si>
  <si>
    <t>Null Depth, dB</t>
  </si>
  <si>
    <r>
      <rPr>
        <b/>
        <sz val="10"/>
        <rFont val="Arial"/>
      </rPr>
      <t>R</t>
    </r>
    <r>
      <rPr>
        <b/>
        <sz val="8"/>
        <rFont val="Arial"/>
      </rPr>
      <t>R</t>
    </r>
  </si>
  <si>
    <r>
      <rPr>
        <b/>
        <sz val="10"/>
        <rFont val="Arial"/>
      </rPr>
      <t>R</t>
    </r>
    <r>
      <rPr>
        <b/>
        <sz val="8"/>
        <rFont val="Arial"/>
      </rPr>
      <t>L</t>
    </r>
  </si>
  <si>
    <r>
      <rPr>
        <b/>
        <sz val="10"/>
        <rFont val="Arial"/>
      </rPr>
      <t>R</t>
    </r>
    <r>
      <rPr>
        <b/>
        <sz val="8"/>
        <rFont val="Arial"/>
      </rPr>
      <t>T</t>
    </r>
  </si>
  <si>
    <t>η</t>
  </si>
  <si>
    <r>
      <rPr>
        <b/>
        <sz val="10"/>
        <rFont val="Arial"/>
      </rPr>
      <t>X</t>
    </r>
    <r>
      <rPr>
        <b/>
        <sz val="8"/>
        <rFont val="Arial"/>
      </rPr>
      <t>L</t>
    </r>
  </si>
  <si>
    <r>
      <rPr>
        <b/>
        <sz val="10"/>
        <rFont val="Arial"/>
      </rPr>
      <t>C</t>
    </r>
    <r>
      <rPr>
        <b/>
        <sz val="8"/>
        <rFont val="Arial"/>
      </rPr>
      <t>T</t>
    </r>
  </si>
  <si>
    <t>Q</t>
  </si>
  <si>
    <r>
      <rPr>
        <b/>
        <sz val="8"/>
        <rFont val="Arial"/>
      </rPr>
      <t>Δ</t>
    </r>
    <r>
      <rPr>
        <b/>
        <sz val="10"/>
        <rFont val="Arial"/>
      </rPr>
      <t>F</t>
    </r>
  </si>
  <si>
    <r>
      <rPr>
        <b/>
        <sz val="10"/>
        <rFont val="Arial"/>
      </rPr>
      <t>V</t>
    </r>
    <r>
      <rPr>
        <b/>
        <sz val="8"/>
        <rFont val="Arial"/>
      </rPr>
      <t>C</t>
    </r>
  </si>
  <si>
    <r>
      <rPr>
        <b/>
        <sz val="10"/>
        <rFont val="Arial"/>
      </rPr>
      <t>P</t>
    </r>
    <r>
      <rPr>
        <b/>
        <sz val="8"/>
        <rFont val="Arial"/>
      </rPr>
      <t>S</t>
    </r>
  </si>
  <si>
    <t>λ</t>
  </si>
  <si>
    <t>Q (no loss)</t>
  </si>
  <si>
    <t>(Q/Qradiation)</t>
  </si>
  <si>
    <t>"-20log10(2*pi*D)"</t>
  </si>
  <si>
    <t>aa5tb@arrl.net</t>
  </si>
  <si>
    <t>Small HF Loop Antenna Calculator ver. 1.22f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</si>
</sst>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000000"/>
    <numFmt numFmtId="167" formatCode="0.00000000000"/>
  </numFmts>
  <fonts count="40" x14ac:knownFonts="1">
    <font>
      <sz val="10"/>
      <name val="Arial"/>
    </font>
    <font>
      <sz val="10"/>
      <name val="Arial"/>
    </font>
    <font>
      <b/>
      <sz val="24"/>
      <color rgb="FF000000"/>
      <name val="Arial"/>
    </font>
    <font>
      <sz val="18"/>
      <color rgb="FF000000"/>
      <name val="Arial"/>
    </font>
    <font>
      <sz val="12"/>
      <color rgb="FF000000"/>
      <name val="Arial"/>
    </font>
    <font>
      <sz val="10"/>
      <color rgb="FF333333"/>
      <name val="Arial"/>
    </font>
    <font>
      <i/>
      <sz val="10"/>
      <color rgb="FF808080"/>
      <name val="Arial"/>
    </font>
    <font>
      <u/>
      <sz val="10"/>
      <color rgb="FF0000EE"/>
      <name val="Arial"/>
    </font>
    <font>
      <sz val="10"/>
      <color rgb="FF006600"/>
      <name val="Arial"/>
    </font>
    <font>
      <sz val="10"/>
      <color rgb="FF996600"/>
      <name val="Arial"/>
    </font>
    <font>
      <sz val="10"/>
      <color rgb="FFCC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0"/>
      <color rgb="FFFFFFFF"/>
      <name val="Arial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i/>
      <sz val="10"/>
      <name val="Arial"/>
    </font>
    <font>
      <b/>
      <i/>
      <u/>
      <sz val="10"/>
      <name val="Arial"/>
    </font>
    <font>
      <b/>
      <i/>
      <sz val="10"/>
      <name val="Arial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</font>
    <font>
      <b/>
      <sz val="12"/>
      <color rgb="FF008000"/>
      <name val="Arial"/>
      <family val="2"/>
    </font>
    <font>
      <i/>
      <sz val="10"/>
      <color rgb="FF008000"/>
      <name val="Comic Sans MS"/>
      <family val="4"/>
    </font>
    <font>
      <sz val="10"/>
      <name val="Comic Sans MS"/>
      <family val="4"/>
    </font>
    <font>
      <sz val="7.5"/>
      <name val="Comic Sans MS"/>
      <family val="4"/>
    </font>
    <font>
      <i/>
      <sz val="10"/>
      <color rgb="FFCE181E"/>
      <name val="Arial"/>
    </font>
    <font>
      <sz val="8"/>
      <name val="Comic Sans MS"/>
      <family val="4"/>
    </font>
    <font>
      <sz val="10"/>
      <color rgb="FFCE181E"/>
      <name val="Comic Sans MS"/>
      <family val="4"/>
    </font>
    <font>
      <sz val="10"/>
      <color rgb="FFCE181E"/>
      <name val="Arial"/>
    </font>
    <font>
      <i/>
      <sz val="10"/>
      <name val="Comic Sans MS"/>
      <family val="4"/>
    </font>
    <font>
      <sz val="10"/>
      <color rgb="FF008000"/>
      <name val="Arial"/>
      <family val="2"/>
    </font>
    <font>
      <sz val="10"/>
      <color rgb="FF008000"/>
      <name val="Comic Sans MS"/>
      <family val="4"/>
    </font>
    <font>
      <b/>
      <u/>
      <sz val="10"/>
      <name val="Arial"/>
      <family val="2"/>
    </font>
    <font>
      <b/>
      <sz val="8"/>
      <name val="Arial"/>
    </font>
    <font>
      <sz val="10"/>
      <color rgb="FFFFFFFF"/>
      <name val="Arial"/>
      <family val="2"/>
    </font>
    <font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rgb="FFFFBF00"/>
        <bgColor rgb="FFFFCC00"/>
      </patternFill>
    </fill>
    <fill>
      <patternFill patternType="solid">
        <fgColor rgb="FFFFCC00"/>
        <bgColor rgb="FFFFBF00"/>
      </patternFill>
    </fill>
    <fill>
      <patternFill patternType="solid">
        <fgColor rgb="FFFFFF00"/>
        <bgColor rgb="FFFFCC00"/>
      </patternFill>
    </fill>
    <fill>
      <patternFill patternType="solid">
        <fgColor rgb="FFFF99CC"/>
        <bgColor rgb="FFFF8080"/>
      </patternFill>
    </fill>
    <fill>
      <patternFill patternType="solid">
        <fgColor rgb="FFFF9900"/>
        <bgColor rgb="FFFFBF00"/>
      </patternFill>
    </fill>
    <fill>
      <patternFill patternType="solid">
        <fgColor rgb="FF99CCFF"/>
        <bgColor rgb="FFC0C0C0"/>
      </patternFill>
    </fill>
    <fill>
      <patternFill patternType="solid">
        <fgColor rgb="FFCCFFFF"/>
        <bgColor rgb="FFCCFFFF"/>
      </patternFill>
    </fill>
  </fills>
  <borders count="3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0" fontId="2" fillId="0" borderId="0" applyBorder="0" applyAlignment="0" applyProtection="0"/>
    <xf numFmtId="0" fontId="3" fillId="0" borderId="0" applyBorder="0" applyAlignment="0" applyProtection="0"/>
    <xf numFmtId="0" fontId="4" fillId="0" borderId="0" applyBorder="0" applyAlignment="0" applyProtection="0"/>
    <xf numFmtId="0" fontId="1" fillId="0" borderId="0" applyBorder="0" applyAlignment="0" applyProtection="0"/>
    <xf numFmtId="0" fontId="5" fillId="2" borderId="1" applyAlignment="0" applyProtection="0"/>
    <xf numFmtId="0" fontId="6" fillId="0" borderId="0" applyBorder="0" applyAlignment="0" applyProtection="0"/>
    <xf numFmtId="0" fontId="7" fillId="0" borderId="0" applyBorder="0" applyAlignment="0" applyProtection="0"/>
    <xf numFmtId="0" fontId="1" fillId="0" borderId="0" applyBorder="0" applyAlignment="0" applyProtection="0"/>
    <xf numFmtId="0" fontId="8" fillId="3" borderId="0" applyBorder="0" applyAlignment="0" applyProtection="0"/>
    <xf numFmtId="0" fontId="9" fillId="2" borderId="0" applyBorder="0" applyAlignment="0" applyProtection="0"/>
    <xf numFmtId="0" fontId="10" fillId="4" borderId="0" applyBorder="0" applyAlignment="0" applyProtection="0"/>
    <xf numFmtId="0" fontId="10" fillId="0" borderId="0" applyBorder="0" applyAlignment="0" applyProtection="0"/>
    <xf numFmtId="0" fontId="11" fillId="5" borderId="0" applyBorder="0" applyAlignment="0" applyProtection="0"/>
    <xf numFmtId="0" fontId="12" fillId="0" borderId="0" applyBorder="0" applyAlignment="0" applyProtection="0"/>
    <xf numFmtId="0" fontId="13" fillId="6" borderId="0" applyBorder="0" applyAlignment="0" applyProtection="0"/>
    <xf numFmtId="0" fontId="13" fillId="7" borderId="0" applyBorder="0" applyAlignment="0" applyProtection="0"/>
    <xf numFmtId="0" fontId="12" fillId="8" borderId="0" applyBorder="0" applyAlignment="0" applyProtection="0"/>
  </cellStyleXfs>
  <cellXfs count="214">
    <xf numFmtId="0" fontId="0" fillId="0" borderId="0" xfId="0"/>
    <xf numFmtId="0" fontId="0" fillId="9" borderId="0" xfId="0" applyFill="1"/>
    <xf numFmtId="0" fontId="14" fillId="9" borderId="0" xfId="0" applyFont="1" applyFill="1"/>
    <xf numFmtId="0" fontId="0" fillId="9" borderId="0" xfId="0" applyFill="1" applyAlignment="1">
      <alignment horizontal="right"/>
    </xf>
    <xf numFmtId="0" fontId="0" fillId="9" borderId="0" xfId="0" applyFill="1" applyProtection="1"/>
    <xf numFmtId="0" fontId="15" fillId="9" borderId="0" xfId="0" applyFont="1" applyFill="1" applyAlignment="1" applyProtection="1"/>
    <xf numFmtId="0" fontId="16" fillId="9" borderId="0" xfId="0" applyFont="1" applyFill="1" applyAlignment="1" applyProtection="1">
      <alignment horizontal="center"/>
    </xf>
    <xf numFmtId="0" fontId="16" fillId="9" borderId="0" xfId="0" applyFont="1" applyFill="1" applyAlignment="1" applyProtection="1"/>
    <xf numFmtId="0" fontId="14" fillId="9" borderId="0" xfId="0" applyFont="1" applyFill="1" applyProtection="1"/>
    <xf numFmtId="0" fontId="0" fillId="9" borderId="0" xfId="0" applyFont="1" applyFill="1" applyAlignment="1" applyProtection="1">
      <alignment horizontal="center"/>
    </xf>
    <xf numFmtId="0" fontId="17" fillId="9" borderId="0" xfId="0" applyFont="1" applyFill="1" applyAlignment="1" applyProtection="1">
      <alignment horizontal="center"/>
      <protection locked="0"/>
    </xf>
    <xf numFmtId="0" fontId="17" fillId="10" borderId="0" xfId="0" applyFont="1" applyFill="1" applyProtection="1"/>
    <xf numFmtId="0" fontId="17" fillId="10" borderId="0" xfId="0" applyFont="1" applyFill="1" applyAlignment="1" applyProtection="1">
      <alignment horizontal="center"/>
      <protection locked="0"/>
    </xf>
    <xf numFmtId="0" fontId="17" fillId="9" borderId="0" xfId="0" applyFont="1" applyFill="1" applyProtection="1"/>
    <xf numFmtId="0" fontId="18" fillId="10" borderId="0" xfId="0" applyFont="1" applyFill="1" applyProtection="1"/>
    <xf numFmtId="0" fontId="0" fillId="9" borderId="0" xfId="0" applyFill="1" applyBorder="1" applyProtection="1"/>
    <xf numFmtId="0" fontId="14" fillId="9" borderId="0" xfId="0" applyFont="1" applyFill="1" applyBorder="1" applyProtection="1"/>
    <xf numFmtId="0" fontId="17" fillId="9" borderId="0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/>
    <xf numFmtId="0" fontId="0" fillId="9" borderId="0" xfId="0" applyFill="1" applyAlignment="1" applyProtection="1">
      <alignment horizontal="right"/>
    </xf>
    <xf numFmtId="0" fontId="0" fillId="9" borderId="2" xfId="0" applyFill="1" applyBorder="1" applyProtection="1"/>
    <xf numFmtId="0" fontId="14" fillId="9" borderId="3" xfId="0" applyFont="1" applyFill="1" applyBorder="1" applyAlignment="1" applyProtection="1">
      <alignment horizontal="right"/>
    </xf>
    <xf numFmtId="164" fontId="14" fillId="3" borderId="4" xfId="0" applyNumberFormat="1" applyFont="1" applyFill="1" applyBorder="1" applyAlignment="1" applyProtection="1">
      <alignment horizontal="right"/>
      <protection locked="0"/>
    </xf>
    <xf numFmtId="0" fontId="0" fillId="9" borderId="4" xfId="0" applyFont="1" applyFill="1" applyBorder="1" applyProtection="1"/>
    <xf numFmtId="0" fontId="14" fillId="11" borderId="4" xfId="0" applyFont="1" applyFill="1" applyBorder="1" applyProtection="1"/>
    <xf numFmtId="0" fontId="14" fillId="11" borderId="5" xfId="0" applyFont="1" applyFill="1" applyBorder="1" applyProtection="1"/>
    <xf numFmtId="0" fontId="14" fillId="9" borderId="6" xfId="0" applyFont="1" applyFill="1" applyBorder="1" applyAlignment="1" applyProtection="1">
      <alignment horizontal="right"/>
    </xf>
    <xf numFmtId="165" fontId="14" fillId="3" borderId="7" xfId="0" applyNumberFormat="1" applyFont="1" applyFill="1" applyBorder="1" applyAlignment="1" applyProtection="1">
      <alignment horizontal="right"/>
      <protection locked="0"/>
    </xf>
    <xf numFmtId="0" fontId="0" fillId="9" borderId="7" xfId="0" applyFont="1" applyFill="1" applyBorder="1" applyProtection="1"/>
    <xf numFmtId="165" fontId="21" fillId="9" borderId="7" xfId="0" applyNumberFormat="1" applyFont="1" applyFill="1" applyBorder="1" applyProtection="1"/>
    <xf numFmtId="0" fontId="0" fillId="9" borderId="8" xfId="0" applyFont="1" applyFill="1" applyBorder="1" applyAlignment="1" applyProtection="1">
      <alignment horizontal="left"/>
    </xf>
    <xf numFmtId="165" fontId="14" fillId="9" borderId="7" xfId="0" applyNumberFormat="1" applyFont="1" applyFill="1" applyBorder="1" applyProtection="1"/>
    <xf numFmtId="0" fontId="14" fillId="11" borderId="9" xfId="0" applyFont="1" applyFill="1" applyBorder="1" applyAlignment="1" applyProtection="1">
      <alignment horizontal="right"/>
    </xf>
    <xf numFmtId="1" fontId="14" fillId="3" borderId="10" xfId="0" applyNumberFormat="1" applyFont="1" applyFill="1" applyBorder="1" applyAlignment="1" applyProtection="1">
      <alignment horizontal="right"/>
      <protection locked="0"/>
    </xf>
    <xf numFmtId="0" fontId="0" fillId="11" borderId="7" xfId="0" applyFont="1" applyFill="1" applyBorder="1" applyProtection="1"/>
    <xf numFmtId="165" fontId="14" fillId="11" borderId="7" xfId="0" applyNumberFormat="1" applyFont="1" applyFill="1" applyBorder="1" applyProtection="1"/>
    <xf numFmtId="0" fontId="0" fillId="11" borderId="8" xfId="0" applyFill="1" applyBorder="1" applyAlignment="1" applyProtection="1">
      <alignment horizontal="left"/>
    </xf>
    <xf numFmtId="0" fontId="14" fillId="9" borderId="9" xfId="0" applyFont="1" applyFill="1" applyBorder="1" applyAlignment="1" applyProtection="1">
      <alignment horizontal="right"/>
    </xf>
    <xf numFmtId="165" fontId="14" fillId="3" borderId="10" xfId="0" applyNumberFormat="1" applyFont="1" applyFill="1" applyBorder="1" applyAlignment="1" applyProtection="1">
      <alignment horizontal="right"/>
      <protection locked="0"/>
    </xf>
    <xf numFmtId="0" fontId="0" fillId="9" borderId="0" xfId="0" applyFont="1" applyFill="1" applyBorder="1" applyProtection="1"/>
    <xf numFmtId="0" fontId="0" fillId="9" borderId="8" xfId="0" applyFill="1" applyBorder="1" applyProtection="1"/>
    <xf numFmtId="0" fontId="14" fillId="9" borderId="11" xfId="0" applyFont="1" applyFill="1" applyBorder="1" applyAlignment="1" applyProtection="1">
      <alignment horizontal="right"/>
    </xf>
    <xf numFmtId="165" fontId="14" fillId="3" borderId="2" xfId="0" applyNumberFormat="1" applyFont="1" applyFill="1" applyBorder="1" applyAlignment="1" applyProtection="1">
      <alignment horizontal="right"/>
      <protection locked="0"/>
    </xf>
    <xf numFmtId="0" fontId="0" fillId="9" borderId="12" xfId="0" applyFont="1" applyFill="1" applyBorder="1" applyProtection="1"/>
    <xf numFmtId="0" fontId="0" fillId="9" borderId="13" xfId="0" applyFill="1" applyBorder="1" applyProtection="1"/>
    <xf numFmtId="0" fontId="21" fillId="9" borderId="0" xfId="0" applyFont="1" applyFill="1" applyBorder="1" applyProtection="1"/>
    <xf numFmtId="0" fontId="14" fillId="12" borderId="3" xfId="0" applyFont="1" applyFill="1" applyBorder="1" applyProtection="1"/>
    <xf numFmtId="0" fontId="0" fillId="12" borderId="4" xfId="0" applyFill="1" applyBorder="1" applyAlignment="1" applyProtection="1">
      <alignment horizontal="right"/>
    </xf>
    <xf numFmtId="0" fontId="0" fillId="12" borderId="4" xfId="0" applyFill="1" applyBorder="1" applyProtection="1"/>
    <xf numFmtId="0" fontId="0" fillId="12" borderId="5" xfId="0" applyFill="1" applyBorder="1" applyProtection="1"/>
    <xf numFmtId="165" fontId="14" fillId="13" borderId="10" xfId="0" applyNumberFormat="1" applyFont="1" applyFill="1" applyBorder="1" applyAlignment="1" applyProtection="1">
      <alignment horizontal="right"/>
    </xf>
    <xf numFmtId="0" fontId="0" fillId="13" borderId="10" xfId="0" applyFont="1" applyFill="1" applyBorder="1" applyProtection="1"/>
    <xf numFmtId="0" fontId="14" fillId="13" borderId="10" xfId="0" applyFont="1" applyFill="1" applyBorder="1" applyProtection="1"/>
    <xf numFmtId="0" fontId="0" fillId="13" borderId="14" xfId="0" applyFill="1" applyBorder="1" applyProtection="1"/>
    <xf numFmtId="165" fontId="14" fillId="13" borderId="7" xfId="0" applyNumberFormat="1" applyFont="1" applyFill="1" applyBorder="1" applyAlignment="1" applyProtection="1">
      <alignment horizontal="right"/>
    </xf>
    <xf numFmtId="0" fontId="0" fillId="13" borderId="7" xfId="0" applyFont="1" applyFill="1" applyBorder="1" applyProtection="1"/>
    <xf numFmtId="165" fontId="14" fillId="13" borderId="7" xfId="0" applyNumberFormat="1" applyFont="1" applyFill="1" applyBorder="1" applyProtection="1"/>
    <xf numFmtId="0" fontId="0" fillId="13" borderId="8" xfId="0" applyFont="1" applyFill="1" applyBorder="1" applyProtection="1"/>
    <xf numFmtId="165" fontId="22" fillId="13" borderId="7" xfId="0" applyNumberFormat="1" applyFont="1" applyFill="1" applyBorder="1"/>
    <xf numFmtId="0" fontId="23" fillId="13" borderId="8" xfId="0" applyFont="1" applyFill="1" applyBorder="1"/>
    <xf numFmtId="0" fontId="23" fillId="13" borderId="7" xfId="0" applyFont="1" applyFill="1" applyBorder="1" applyProtection="1"/>
    <xf numFmtId="165" fontId="14" fillId="13" borderId="10" xfId="0" applyNumberFormat="1" applyFont="1" applyFill="1" applyBorder="1" applyProtection="1"/>
    <xf numFmtId="0" fontId="14" fillId="13" borderId="7" xfId="0" applyFont="1" applyFill="1" applyBorder="1" applyProtection="1"/>
    <xf numFmtId="0" fontId="14" fillId="11" borderId="6" xfId="0" applyFont="1" applyFill="1" applyBorder="1" applyAlignment="1" applyProtection="1">
      <alignment horizontal="right"/>
    </xf>
    <xf numFmtId="165" fontId="14" fillId="11" borderId="7" xfId="0" applyNumberFormat="1" applyFont="1" applyFill="1" applyBorder="1" applyAlignment="1" applyProtection="1">
      <alignment horizontal="right"/>
    </xf>
    <xf numFmtId="0" fontId="14" fillId="11" borderId="7" xfId="0" applyFont="1" applyFill="1" applyBorder="1" applyProtection="1"/>
    <xf numFmtId="0" fontId="0" fillId="11" borderId="8" xfId="0" applyFill="1" applyBorder="1" applyProtection="1"/>
    <xf numFmtId="0" fontId="0" fillId="9" borderId="0" xfId="0" applyFill="1" applyProtection="1">
      <protection locked="0"/>
    </xf>
    <xf numFmtId="165" fontId="14" fillId="13" borderId="2" xfId="0" applyNumberFormat="1" applyFont="1" applyFill="1" applyBorder="1" applyAlignment="1" applyProtection="1">
      <alignment horizontal="right"/>
    </xf>
    <xf numFmtId="0" fontId="0" fillId="13" borderId="2" xfId="0" applyFont="1" applyFill="1" applyBorder="1" applyProtection="1"/>
    <xf numFmtId="165" fontId="14" fillId="13" borderId="2" xfId="0" applyNumberFormat="1" applyFont="1" applyFill="1" applyBorder="1" applyProtection="1"/>
    <xf numFmtId="0" fontId="0" fillId="13" borderId="15" xfId="0" applyFont="1" applyFill="1" applyBorder="1" applyAlignment="1" applyProtection="1">
      <alignment horizontal="left"/>
    </xf>
    <xf numFmtId="0" fontId="21" fillId="9" borderId="0" xfId="0" applyFont="1" applyFill="1" applyProtection="1"/>
    <xf numFmtId="0" fontId="0" fillId="9" borderId="0" xfId="0" applyFill="1" applyBorder="1" applyAlignment="1" applyProtection="1">
      <alignment horizontal="right"/>
    </xf>
    <xf numFmtId="0" fontId="24" fillId="9" borderId="0" xfId="0" applyFont="1" applyFill="1" applyBorder="1" applyProtection="1"/>
    <xf numFmtId="0" fontId="0" fillId="9" borderId="0" xfId="0" applyFont="1" applyFill="1"/>
    <xf numFmtId="0" fontId="0" fillId="9" borderId="0" xfId="0" applyFill="1" applyAlignment="1" applyProtection="1">
      <alignment horizontal="right"/>
      <protection locked="0"/>
    </xf>
    <xf numFmtId="0" fontId="21" fillId="9" borderId="0" xfId="0" applyFont="1" applyFill="1" applyProtection="1">
      <protection locked="0"/>
    </xf>
    <xf numFmtId="0" fontId="24" fillId="9" borderId="0" xfId="0" applyFont="1" applyFill="1"/>
    <xf numFmtId="0" fontId="14" fillId="11" borderId="16" xfId="0" applyFont="1" applyFill="1" applyBorder="1"/>
    <xf numFmtId="0" fontId="14" fillId="11" borderId="17" xfId="0" applyFont="1" applyFill="1" applyBorder="1" applyAlignment="1">
      <alignment horizontal="right"/>
    </xf>
    <xf numFmtId="0" fontId="14" fillId="11" borderId="17" xfId="0" applyFont="1" applyFill="1" applyBorder="1"/>
    <xf numFmtId="0" fontId="14" fillId="11" borderId="17" xfId="0" applyFont="1" applyFill="1" applyBorder="1" applyProtection="1"/>
    <xf numFmtId="0" fontId="0" fillId="11" borderId="18" xfId="0" applyFill="1" applyBorder="1" applyProtection="1"/>
    <xf numFmtId="0" fontId="14" fillId="11" borderId="19" xfId="0" applyFont="1" applyFill="1" applyBorder="1"/>
    <xf numFmtId="0" fontId="0" fillId="11" borderId="0" xfId="0" applyFill="1" applyBorder="1" applyAlignment="1">
      <alignment horizontal="right"/>
    </xf>
    <xf numFmtId="0" fontId="0" fillId="11" borderId="0" xfId="0" applyFill="1" applyBorder="1"/>
    <xf numFmtId="0" fontId="0" fillId="11" borderId="0" xfId="0" applyFill="1" applyBorder="1" applyProtection="1"/>
    <xf numFmtId="0" fontId="0" fillId="11" borderId="20" xfId="0" applyFill="1" applyBorder="1" applyProtection="1"/>
    <xf numFmtId="0" fontId="14" fillId="9" borderId="19" xfId="0" applyFont="1" applyFill="1" applyBorder="1"/>
    <xf numFmtId="0" fontId="0" fillId="9" borderId="0" xfId="0" applyFill="1" applyBorder="1" applyAlignment="1">
      <alignment horizontal="right"/>
    </xf>
    <xf numFmtId="0" fontId="0" fillId="9" borderId="0" xfId="0" applyFill="1" applyBorder="1"/>
    <xf numFmtId="0" fontId="0" fillId="9" borderId="20" xfId="0" applyFill="1" applyBorder="1" applyProtection="1"/>
    <xf numFmtId="0" fontId="14" fillId="9" borderId="6" xfId="0" applyFont="1" applyFill="1" applyBorder="1" applyAlignment="1">
      <alignment horizontal="right"/>
    </xf>
    <xf numFmtId="0" fontId="14" fillId="3" borderId="7" xfId="0" applyFont="1" applyFill="1" applyBorder="1" applyAlignment="1">
      <alignment horizontal="right"/>
    </xf>
    <xf numFmtId="0" fontId="14" fillId="9" borderId="7" xfId="0" applyFont="1" applyFill="1" applyBorder="1"/>
    <xf numFmtId="0" fontId="0" fillId="9" borderId="7" xfId="0" applyFill="1" applyBorder="1"/>
    <xf numFmtId="0" fontId="14" fillId="9" borderId="21" xfId="0" applyFont="1" applyFill="1" applyBorder="1" applyAlignment="1">
      <alignment horizontal="right"/>
    </xf>
    <xf numFmtId="0" fontId="14" fillId="3" borderId="22" xfId="0" applyFont="1" applyFill="1" applyBorder="1" applyAlignment="1">
      <alignment horizontal="right"/>
    </xf>
    <xf numFmtId="0" fontId="14" fillId="9" borderId="22" xfId="0" applyFont="1" applyFill="1" applyBorder="1"/>
    <xf numFmtId="0" fontId="0" fillId="9" borderId="23" xfId="0" applyFill="1" applyBorder="1" applyProtection="1"/>
    <xf numFmtId="0" fontId="14" fillId="0" borderId="22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164" fontId="14" fillId="12" borderId="7" xfId="0" applyNumberFormat="1" applyFont="1" applyFill="1" applyBorder="1" applyAlignment="1">
      <alignment horizontal="right"/>
    </xf>
    <xf numFmtId="0" fontId="14" fillId="12" borderId="7" xfId="0" applyFont="1" applyFill="1" applyBorder="1"/>
    <xf numFmtId="0" fontId="14" fillId="14" borderId="7" xfId="0" applyFont="1" applyFill="1" applyBorder="1"/>
    <xf numFmtId="0" fontId="14" fillId="14" borderId="8" xfId="0" applyFont="1" applyFill="1" applyBorder="1" applyProtection="1"/>
    <xf numFmtId="0" fontId="14" fillId="11" borderId="7" xfId="0" applyFont="1" applyFill="1" applyBorder="1" applyAlignment="1">
      <alignment horizontal="right"/>
    </xf>
    <xf numFmtId="165" fontId="14" fillId="11" borderId="7" xfId="0" applyNumberFormat="1" applyFont="1" applyFill="1" applyBorder="1" applyAlignment="1">
      <alignment horizontal="right"/>
    </xf>
    <xf numFmtId="0" fontId="14" fillId="11" borderId="7" xfId="0" applyFont="1" applyFill="1" applyBorder="1"/>
    <xf numFmtId="0" fontId="14" fillId="9" borderId="11" xfId="0" applyFont="1" applyFill="1" applyBorder="1" applyAlignment="1">
      <alignment horizontal="right"/>
    </xf>
    <xf numFmtId="165" fontId="14" fillId="11" borderId="2" xfId="0" applyNumberFormat="1" applyFont="1" applyFill="1" applyBorder="1" applyAlignment="1">
      <alignment horizontal="right"/>
    </xf>
    <xf numFmtId="0" fontId="14" fillId="11" borderId="2" xfId="0" applyFont="1" applyFill="1" applyBorder="1"/>
    <xf numFmtId="165" fontId="14" fillId="11" borderId="2" xfId="0" applyNumberFormat="1" applyFont="1" applyFill="1" applyBorder="1"/>
    <xf numFmtId="0" fontId="0" fillId="11" borderId="2" xfId="0" applyFill="1" applyBorder="1" applyProtection="1"/>
    <xf numFmtId="0" fontId="0" fillId="9" borderId="15" xfId="0" applyFill="1" applyBorder="1" applyProtection="1"/>
    <xf numFmtId="0" fontId="0" fillId="9" borderId="0" xfId="0" applyFont="1" applyFill="1" applyAlignment="1">
      <alignment horizontal="right"/>
    </xf>
    <xf numFmtId="0" fontId="0" fillId="9" borderId="0" xfId="0" applyFont="1" applyFill="1" applyProtection="1"/>
    <xf numFmtId="0" fontId="0" fillId="0" borderId="0" xfId="0" applyFont="1"/>
    <xf numFmtId="0" fontId="21" fillId="9" borderId="0" xfId="0" applyFont="1" applyFill="1"/>
    <xf numFmtId="0" fontId="25" fillId="9" borderId="0" xfId="0" applyFont="1" applyFill="1" applyAlignment="1">
      <alignment horizontal="center"/>
    </xf>
    <xf numFmtId="0" fontId="26" fillId="9" borderId="0" xfId="0" applyFont="1" applyFill="1" applyAlignment="1">
      <alignment horizontal="center"/>
    </xf>
    <xf numFmtId="0" fontId="27" fillId="9" borderId="0" xfId="0" applyFont="1" applyFill="1"/>
    <xf numFmtId="0" fontId="29" fillId="9" borderId="0" xfId="0" applyFont="1" applyFill="1"/>
    <xf numFmtId="0" fontId="32" fillId="9" borderId="0" xfId="0" applyFont="1" applyFill="1"/>
    <xf numFmtId="0" fontId="33" fillId="9" borderId="0" xfId="0" applyFont="1" applyFill="1"/>
    <xf numFmtId="0" fontId="34" fillId="9" borderId="0" xfId="0" applyFont="1" applyFill="1" applyAlignment="1">
      <alignment horizontal="right"/>
    </xf>
    <xf numFmtId="0" fontId="35" fillId="9" borderId="0" xfId="0" applyFont="1" applyFill="1" applyAlignment="1">
      <alignment horizontal="left"/>
    </xf>
    <xf numFmtId="166" fontId="0" fillId="9" borderId="0" xfId="0" applyNumberFormat="1" applyFill="1"/>
    <xf numFmtId="0" fontId="36" fillId="9" borderId="0" xfId="0" applyFont="1" applyFill="1"/>
    <xf numFmtId="166" fontId="21" fillId="9" borderId="0" xfId="0" applyNumberFormat="1" applyFont="1" applyFill="1"/>
    <xf numFmtId="0" fontId="24" fillId="9" borderId="24" xfId="0" applyFont="1" applyFill="1" applyBorder="1" applyAlignment="1">
      <alignment horizontal="right"/>
    </xf>
    <xf numFmtId="167" fontId="23" fillId="3" borderId="25" xfId="0" applyNumberFormat="1" applyFont="1" applyFill="1" applyBorder="1"/>
    <xf numFmtId="166" fontId="23" fillId="3" borderId="22" xfId="0" applyNumberFormat="1" applyFont="1" applyFill="1" applyBorder="1"/>
    <xf numFmtId="166" fontId="23" fillId="3" borderId="7" xfId="0" applyNumberFormat="1" applyFont="1" applyFill="1" applyBorder="1"/>
    <xf numFmtId="166" fontId="23" fillId="3" borderId="26" xfId="0" applyNumberFormat="1" applyFont="1" applyFill="1" applyBorder="1"/>
    <xf numFmtId="0" fontId="0" fillId="9" borderId="27" xfId="0" applyFont="1" applyFill="1" applyBorder="1" applyAlignment="1">
      <alignment horizontal="right"/>
    </xf>
    <xf numFmtId="166" fontId="23" fillId="3" borderId="27" xfId="0" applyNumberFormat="1" applyFont="1" applyFill="1" applyBorder="1"/>
    <xf numFmtId="166" fontId="23" fillId="3" borderId="10" xfId="0" applyNumberFormat="1" applyFont="1" applyFill="1" applyBorder="1"/>
    <xf numFmtId="166" fontId="23" fillId="3" borderId="28" xfId="0" applyNumberFormat="1" applyFont="1" applyFill="1" applyBorder="1"/>
    <xf numFmtId="166" fontId="23" fillId="3" borderId="25" xfId="0" applyNumberFormat="1" applyFont="1" applyFill="1" applyBorder="1"/>
    <xf numFmtId="1" fontId="23" fillId="3" borderId="7" xfId="0" applyNumberFormat="1" applyFont="1" applyFill="1" applyBorder="1"/>
    <xf numFmtId="166" fontId="38" fillId="0" borderId="0" xfId="0" applyNumberFormat="1" applyFont="1" applyBorder="1"/>
    <xf numFmtId="166" fontId="22" fillId="15" borderId="27" xfId="0" applyNumberFormat="1" applyFont="1" applyFill="1" applyBorder="1"/>
    <xf numFmtId="166" fontId="22" fillId="15" borderId="7" xfId="0" applyNumberFormat="1" applyFont="1" applyFill="1" applyBorder="1"/>
    <xf numFmtId="166" fontId="23" fillId="15" borderId="7" xfId="0" applyNumberFormat="1" applyFont="1" applyFill="1" applyBorder="1"/>
    <xf numFmtId="166" fontId="23" fillId="15" borderId="22" xfId="0" applyNumberFormat="1" applyFont="1" applyFill="1" applyBorder="1"/>
    <xf numFmtId="166" fontId="23" fillId="15" borderId="29" xfId="0" applyNumberFormat="1" applyFont="1" applyFill="1" applyBorder="1"/>
    <xf numFmtId="166" fontId="23" fillId="15" borderId="26" xfId="0" applyNumberFormat="1" applyFont="1" applyFill="1" applyBorder="1"/>
    <xf numFmtId="166" fontId="23" fillId="15" borderId="27" xfId="0" applyNumberFormat="1" applyFont="1" applyFill="1" applyBorder="1"/>
    <xf numFmtId="166" fontId="22" fillId="15" borderId="22" xfId="0" applyNumberFormat="1" applyFont="1" applyFill="1" applyBorder="1"/>
    <xf numFmtId="166" fontId="23" fillId="15" borderId="30" xfId="0" applyNumberFormat="1" applyFont="1" applyFill="1" applyBorder="1"/>
    <xf numFmtId="166" fontId="23" fillId="15" borderId="10" xfId="0" applyNumberFormat="1" applyFont="1" applyFill="1" applyBorder="1"/>
    <xf numFmtId="166" fontId="22" fillId="15" borderId="10" xfId="0" applyNumberFormat="1" applyFont="1" applyFill="1" applyBorder="1"/>
    <xf numFmtId="166" fontId="23" fillId="15" borderId="31" xfId="0" applyNumberFormat="1" applyFont="1" applyFill="1" applyBorder="1"/>
    <xf numFmtId="166" fontId="23" fillId="15" borderId="0" xfId="0" applyNumberFormat="1" applyFont="1" applyFill="1" applyBorder="1"/>
    <xf numFmtId="166" fontId="22" fillId="15" borderId="0" xfId="0" applyNumberFormat="1" applyFont="1" applyFill="1" applyBorder="1"/>
    <xf numFmtId="166" fontId="22" fillId="15" borderId="29" xfId="0" applyNumberFormat="1" applyFont="1" applyFill="1" applyBorder="1"/>
    <xf numFmtId="166" fontId="22" fillId="15" borderId="31" xfId="0" applyNumberFormat="1" applyFont="1" applyFill="1" applyBorder="1"/>
    <xf numFmtId="166" fontId="22" fillId="15" borderId="30" xfId="0" applyNumberFormat="1" applyFont="1" applyFill="1" applyBorder="1"/>
    <xf numFmtId="166" fontId="22" fillId="15" borderId="25" xfId="0" applyNumberFormat="1" applyFont="1" applyFill="1" applyBorder="1"/>
    <xf numFmtId="166" fontId="23" fillId="15" borderId="25" xfId="0" applyNumberFormat="1" applyFont="1" applyFill="1" applyBorder="1"/>
    <xf numFmtId="166" fontId="22" fillId="15" borderId="26" xfId="0" applyNumberFormat="1" applyFont="1" applyFill="1" applyBorder="1"/>
    <xf numFmtId="0" fontId="0" fillId="9" borderId="7" xfId="0" applyFill="1" applyBorder="1" applyAlignment="1">
      <alignment horizontal="right"/>
    </xf>
    <xf numFmtId="0" fontId="0" fillId="9" borderId="32" xfId="0" applyFill="1" applyBorder="1"/>
    <xf numFmtId="166" fontId="23" fillId="9" borderId="29" xfId="0" applyNumberFormat="1" applyFont="1" applyFill="1" applyBorder="1" applyAlignment="1">
      <alignment horizontal="center"/>
    </xf>
    <xf numFmtId="166" fontId="23" fillId="9" borderId="32" xfId="0" applyNumberFormat="1" applyFont="1" applyFill="1" applyBorder="1" applyAlignment="1">
      <alignment horizontal="center"/>
    </xf>
    <xf numFmtId="166" fontId="23" fillId="3" borderId="32" xfId="0" applyNumberFormat="1" applyFont="1" applyFill="1" applyBorder="1" applyAlignment="1">
      <alignment horizontal="center"/>
    </xf>
    <xf numFmtId="166" fontId="23" fillId="9" borderId="25" xfId="0" applyNumberFormat="1" applyFont="1" applyFill="1" applyBorder="1" applyAlignment="1">
      <alignment horizontal="center"/>
    </xf>
    <xf numFmtId="0" fontId="0" fillId="11" borderId="32" xfId="0" applyFill="1" applyBorder="1"/>
    <xf numFmtId="0" fontId="0" fillId="11" borderId="25" xfId="0" applyFill="1" applyBorder="1"/>
    <xf numFmtId="0" fontId="0" fillId="12" borderId="32" xfId="0" applyFill="1" applyBorder="1"/>
    <xf numFmtId="0" fontId="23" fillId="9" borderId="33" xfId="0" applyFont="1" applyFill="1" applyBorder="1" applyAlignment="1">
      <alignment horizontal="center"/>
    </xf>
    <xf numFmtId="166" fontId="23" fillId="9" borderId="33" xfId="0" applyNumberFormat="1" applyFont="1" applyFill="1" applyBorder="1" applyAlignment="1">
      <alignment horizontal="center"/>
    </xf>
    <xf numFmtId="166" fontId="23" fillId="3" borderId="33" xfId="0" applyNumberFormat="1" applyFont="1" applyFill="1" applyBorder="1" applyAlignment="1">
      <alignment horizontal="center"/>
    </xf>
    <xf numFmtId="166" fontId="23" fillId="9" borderId="31" xfId="0" applyNumberFormat="1" applyFont="1" applyFill="1" applyBorder="1" applyAlignment="1">
      <alignment horizontal="center"/>
    </xf>
    <xf numFmtId="0" fontId="0" fillId="11" borderId="33" xfId="0" applyFont="1" applyFill="1" applyBorder="1" applyAlignment="1">
      <alignment horizontal="center"/>
    </xf>
    <xf numFmtId="166" fontId="23" fillId="11" borderId="31" xfId="0" applyNumberFormat="1" applyFont="1" applyFill="1" applyBorder="1" applyAlignment="1">
      <alignment horizontal="center"/>
    </xf>
    <xf numFmtId="0" fontId="21" fillId="12" borderId="33" xfId="0" applyFont="1" applyFill="1" applyBorder="1" applyAlignment="1">
      <alignment horizontal="center"/>
    </xf>
    <xf numFmtId="0" fontId="14" fillId="9" borderId="0" xfId="0" applyFont="1" applyFill="1" applyAlignment="1">
      <alignment horizontal="center"/>
    </xf>
    <xf numFmtId="166" fontId="24" fillId="9" borderId="33" xfId="0" applyNumberFormat="1" applyFont="1" applyFill="1" applyBorder="1" applyAlignment="1">
      <alignment horizontal="center"/>
    </xf>
    <xf numFmtId="166" fontId="24" fillId="9" borderId="31" xfId="0" applyNumberFormat="1" applyFont="1" applyFill="1" applyBorder="1" applyAlignment="1">
      <alignment horizontal="center"/>
    </xf>
    <xf numFmtId="166" fontId="14" fillId="3" borderId="33" xfId="0" applyNumberFormat="1" applyFont="1" applyFill="1" applyBorder="1" applyAlignment="1">
      <alignment horizontal="center"/>
    </xf>
    <xf numFmtId="166" fontId="24" fillId="3" borderId="33" xfId="0" applyNumberFormat="1" applyFont="1" applyFill="1" applyBorder="1" applyAlignment="1">
      <alignment horizontal="center"/>
    </xf>
    <xf numFmtId="166" fontId="14" fillId="9" borderId="33" xfId="0" applyNumberFormat="1" applyFont="1" applyFill="1" applyBorder="1" applyAlignment="1">
      <alignment horizontal="center"/>
    </xf>
    <xf numFmtId="166" fontId="37" fillId="3" borderId="33" xfId="0" applyNumberFormat="1" applyFont="1" applyFill="1" applyBorder="1" applyAlignment="1">
      <alignment horizontal="center"/>
    </xf>
    <xf numFmtId="166" fontId="24" fillId="9" borderId="0" xfId="0" applyNumberFormat="1" applyFont="1" applyFill="1" applyAlignment="1">
      <alignment horizontal="center"/>
    </xf>
    <xf numFmtId="166" fontId="22" fillId="9" borderId="33" xfId="0" applyNumberFormat="1" applyFont="1" applyFill="1" applyBorder="1" applyAlignment="1">
      <alignment horizontal="center"/>
    </xf>
    <xf numFmtId="166" fontId="14" fillId="11" borderId="31" xfId="0" applyNumberFormat="1" applyFont="1" applyFill="1" applyBorder="1" applyAlignment="1">
      <alignment horizontal="center"/>
    </xf>
    <xf numFmtId="0" fontId="0" fillId="12" borderId="33" xfId="0" applyFill="1" applyBorder="1"/>
    <xf numFmtId="0" fontId="23" fillId="9" borderId="34" xfId="0" applyFont="1" applyFill="1" applyBorder="1" applyAlignment="1">
      <alignment horizontal="center"/>
    </xf>
    <xf numFmtId="166" fontId="23" fillId="9" borderId="34" xfId="0" applyNumberFormat="1" applyFont="1" applyFill="1" applyBorder="1" applyAlignment="1">
      <alignment horizontal="center"/>
    </xf>
    <xf numFmtId="166" fontId="23" fillId="3" borderId="34" xfId="0" applyNumberFormat="1" applyFont="1" applyFill="1" applyBorder="1" applyAlignment="1">
      <alignment horizontal="center"/>
    </xf>
    <xf numFmtId="166" fontId="23" fillId="9" borderId="30" xfId="0" applyNumberFormat="1" applyFont="1" applyFill="1" applyBorder="1" applyAlignment="1">
      <alignment horizontal="center"/>
    </xf>
    <xf numFmtId="166" fontId="0" fillId="9" borderId="34" xfId="0" applyNumberFormat="1" applyFill="1" applyBorder="1"/>
    <xf numFmtId="0" fontId="0" fillId="11" borderId="34" xfId="0" applyFill="1" applyBorder="1" applyAlignment="1">
      <alignment horizontal="center"/>
    </xf>
    <xf numFmtId="166" fontId="23" fillId="11" borderId="30" xfId="0" applyNumberFormat="1" applyFont="1" applyFill="1" applyBorder="1" applyAlignment="1">
      <alignment horizontal="center"/>
    </xf>
    <xf numFmtId="0" fontId="21" fillId="12" borderId="34" xfId="0" applyFont="1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166" fontId="39" fillId="9" borderId="24" xfId="0" applyNumberFormat="1" applyFont="1" applyFill="1" applyBorder="1" applyAlignment="1">
      <alignment horizontal="right"/>
    </xf>
    <xf numFmtId="166" fontId="39" fillId="3" borderId="24" xfId="0" applyNumberFormat="1" applyFont="1" applyFill="1" applyBorder="1" applyAlignment="1">
      <alignment horizontal="right"/>
    </xf>
    <xf numFmtId="166" fontId="0" fillId="9" borderId="24" xfId="0" applyNumberFormat="1" applyFill="1" applyBorder="1"/>
    <xf numFmtId="0" fontId="0" fillId="9" borderId="24" xfId="0" applyFill="1" applyBorder="1"/>
    <xf numFmtId="0" fontId="0" fillId="16" borderId="24" xfId="0" applyFill="1" applyBorder="1" applyAlignment="1">
      <alignment horizontal="center"/>
    </xf>
    <xf numFmtId="166" fontId="39" fillId="16" borderId="24" xfId="0" applyNumberFormat="1" applyFont="1" applyFill="1" applyBorder="1" applyAlignment="1">
      <alignment horizontal="right"/>
    </xf>
    <xf numFmtId="166" fontId="0" fillId="16" borderId="24" xfId="0" applyNumberFormat="1" applyFill="1" applyBorder="1"/>
    <xf numFmtId="0" fontId="0" fillId="16" borderId="24" xfId="0" applyFill="1" applyBorder="1"/>
    <xf numFmtId="0" fontId="0" fillId="16" borderId="0" xfId="0" applyFill="1"/>
    <xf numFmtId="0" fontId="0" fillId="0" borderId="24" xfId="0" applyBorder="1" applyAlignment="1">
      <alignment horizontal="center"/>
    </xf>
    <xf numFmtId="166" fontId="39" fillId="0" borderId="24" xfId="0" applyNumberFormat="1" applyFont="1" applyBorder="1" applyAlignment="1">
      <alignment horizontal="right"/>
    </xf>
    <xf numFmtId="166" fontId="0" fillId="0" borderId="24" xfId="0" applyNumberFormat="1" applyBorder="1"/>
    <xf numFmtId="0" fontId="0" fillId="0" borderId="24" xfId="0" applyBorder="1"/>
    <xf numFmtId="0" fontId="7" fillId="0" borderId="0" xfId="7" applyAlignment="1" applyProtection="1">
      <alignment horizontal="center"/>
    </xf>
  </cellXfs>
  <cellStyles count="18">
    <cellStyle name="Accent" xfId="14" xr:uid="{00000000-0005-0000-0000-000013000000}"/>
    <cellStyle name="Accent 1" xfId="15" xr:uid="{00000000-0005-0000-0000-000014000000}"/>
    <cellStyle name="Accent 2" xfId="16" xr:uid="{00000000-0005-0000-0000-000015000000}"/>
    <cellStyle name="Accent 3" xfId="17" xr:uid="{00000000-0005-0000-0000-000016000000}"/>
    <cellStyle name="Bad" xfId="11" xr:uid="{00000000-0005-0000-0000-000010000000}"/>
    <cellStyle name="Error" xfId="13" xr:uid="{00000000-0005-0000-0000-000012000000}"/>
    <cellStyle name="Footnote" xfId="6" xr:uid="{00000000-0005-0000-0000-00000B000000}"/>
    <cellStyle name="Good" xfId="9" xr:uid="{00000000-0005-0000-0000-00000E000000}"/>
    <cellStyle name="Heading" xfId="1" xr:uid="{00000000-0005-0000-0000-000006000000}"/>
    <cellStyle name="Heading 1" xfId="2" xr:uid="{00000000-0005-0000-0000-000007000000}"/>
    <cellStyle name="Heading 2" xfId="3" xr:uid="{00000000-0005-0000-0000-000008000000}"/>
    <cellStyle name="Hyperlink" xfId="7" xr:uid="{00000000-0005-0000-0000-00000C000000}"/>
    <cellStyle name="Neutral" xfId="10" xr:uid="{00000000-0005-0000-0000-00000F000000}"/>
    <cellStyle name="Normal" xfId="0" builtinId="0"/>
    <cellStyle name="Note" xfId="5" xr:uid="{00000000-0005-0000-0000-00000A000000}"/>
    <cellStyle name="Status" xfId="8" xr:uid="{00000000-0005-0000-0000-00000D000000}"/>
    <cellStyle name="Text" xfId="4" xr:uid="{00000000-0005-0000-0000-000009000000}"/>
    <cellStyle name="Warning" xfId="12" xr:uid="{00000000-0005-0000-0000-00001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BF00"/>
      <rgbColor rgb="FF00FFFF"/>
      <rgbColor rgb="FF800080"/>
      <rgbColor rgb="FF800000"/>
      <rgbColor rgb="FF008080"/>
      <rgbColor rgb="FF0000EE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6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200" b="1" strike="noStrike" spc="-1">
                <a:solidFill>
                  <a:srgbClr val="000000"/>
                </a:solidFill>
                <a:latin typeface="Arial"/>
              </a:defRPr>
            </a:pPr>
            <a:r>
              <a:rPr lang="en-US" sz="1200" b="1" strike="noStrike" spc="-1">
                <a:solidFill>
                  <a:srgbClr val="000000"/>
                </a:solidFill>
                <a:latin typeface="Arial"/>
              </a:rPr>
              <a:t>Loop Performance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3508573582101"/>
          <c:y val="0.118347708736725"/>
          <c:w val="0.65856416054267997"/>
          <c:h val="0.79516517045121204"/>
        </c:manualLayout>
      </c:layout>
      <c:lineChart>
        <c:grouping val="standard"/>
        <c:varyColors val="0"/>
        <c:ser>
          <c:idx val="0"/>
          <c:order val="0"/>
          <c:tx>
            <c:strRef>
              <c:f>Calc1!$E$33</c:f>
              <c:strCache>
                <c:ptCount val="1"/>
                <c:pt idx="0">
                  <c:v>dB</c:v>
                </c:pt>
              </c:strCache>
            </c:strRef>
          </c:tx>
          <c:spPr>
            <a:ln w="252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Calc1!$A$34:$A$63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Calc1!$E$34:$E$63</c:f>
              <c:numCache>
                <c:formatCode>0.0000000</c:formatCode>
                <c:ptCount val="30"/>
                <c:pt idx="0">
                  <c:v>-50.589272400899745</c:v>
                </c:pt>
                <c:pt idx="1">
                  <c:v>-39.048303938984795</c:v>
                </c:pt>
                <c:pt idx="2">
                  <c:v>-32.354540699166755</c:v>
                </c:pt>
                <c:pt idx="3">
                  <c:v>-27.635044070094477</c:v>
                </c:pt>
                <c:pt idx="4">
                  <c:v>-23.995632717785131</c:v>
                </c:pt>
                <c:pt idx="5">
                  <c:v>-21.040951423888814</c:v>
                </c:pt>
                <c:pt idx="6">
                  <c:v>-18.562086547313662</c:v>
                </c:pt>
                <c:pt idx="7">
                  <c:v>-16.435873129668103</c:v>
                </c:pt>
                <c:pt idx="8">
                  <c:v>-14.584107751984142</c:v>
                </c:pt>
                <c:pt idx="9">
                  <c:v>-12.954373289537513</c:v>
                </c:pt>
                <c:pt idx="10">
                  <c:v>-11.510001281442987</c:v>
                </c:pt>
                <c:pt idx="11">
                  <c:v>-10.224365714984314</c:v>
                </c:pt>
                <c:pt idx="12">
                  <c:v>-9.0774220155774472</c:v>
                </c:pt>
                <c:pt idx="13">
                  <c:v>-8.0535022607264448</c:v>
                </c:pt>
                <c:pt idx="14">
                  <c:v>-7.1398647011330922</c:v>
                </c:pt>
                <c:pt idx="15">
                  <c:v>-6.3257271735067135</c:v>
                </c:pt>
                <c:pt idx="16">
                  <c:v>-5.6016287950252082</c:v>
                </c:pt>
                <c:pt idx="17">
                  <c:v>-4.9590225215306791</c:v>
                </c:pt>
                <c:pt idx="18">
                  <c:v>-4.3900312950726255</c:v>
                </c:pt>
                <c:pt idx="19">
                  <c:v>-3.8873172321858007</c:v>
                </c:pt>
                <c:pt idx="20">
                  <c:v>-3.4440242448272222</c:v>
                </c:pt>
                <c:pt idx="21">
                  <c:v>-3.0537633030017246</c:v>
                </c:pt>
                <c:pt idx="22">
                  <c:v>-2.710617568089865</c:v>
                </c:pt>
                <c:pt idx="23">
                  <c:v>-2.4091519445610885</c:v>
                </c:pt>
                <c:pt idx="24">
                  <c:v>-2.1444178620538206</c:v>
                </c:pt>
                <c:pt idx="25">
                  <c:v>-1.9119489838362071</c:v>
                </c:pt>
                <c:pt idx="26">
                  <c:v>-1.7077469427977887</c:v>
                </c:pt>
                <c:pt idx="27">
                  <c:v>-1.5282582670690239</c:v>
                </c:pt>
                <c:pt idx="28">
                  <c:v>-1.3703446546413787</c:v>
                </c:pt>
                <c:pt idx="29">
                  <c:v>-1.2312490144910242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F5-4048-BA20-840A9EB6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29387111"/>
        <c:axId val="87285557"/>
      </c:lineChart>
      <c:lineChart>
        <c:grouping val="standard"/>
        <c:varyColors val="0"/>
        <c:ser>
          <c:idx val="1"/>
          <c:order val="1"/>
          <c:tx>
            <c:strRef>
              <c:f>Calc1!$I$33</c:f>
              <c:strCache>
                <c:ptCount val="1"/>
                <c:pt idx="0">
                  <c:v>kHz</c:v>
                </c:pt>
              </c:strCache>
            </c:strRef>
          </c:tx>
          <c:spPr>
            <a:ln w="252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Calc1!$A$34:$A$63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Calc1!$I$34:$I$63</c:f>
              <c:numCache>
                <c:formatCode>0.0000000</c:formatCode>
                <c:ptCount val="30"/>
                <c:pt idx="0">
                  <c:v>17.016868456123095</c:v>
                </c:pt>
                <c:pt idx="1">
                  <c:v>19.094257636438908</c:v>
                </c:pt>
                <c:pt idx="2">
                  <c:v>20.696241831845278</c:v>
                </c:pt>
                <c:pt idx="3">
                  <c:v>22.064636336561886</c:v>
                </c:pt>
                <c:pt idx="4">
                  <c:v>23.30213375091958</c:v>
                </c:pt>
                <c:pt idx="5">
                  <c:v>24.471046682716871</c:v>
                </c:pt>
                <c:pt idx="6">
                  <c:v>25.618471614430298</c:v>
                </c:pt>
                <c:pt idx="7">
                  <c:v>26.785494131551502</c:v>
                </c:pt>
                <c:pt idx="8">
                  <c:v>28.011296757122949</c:v>
                </c:pt>
                <c:pt idx="9">
                  <c:v>29.335245734371053</c:v>
                </c:pt>
                <c:pt idx="10">
                  <c:v>30.798053592518947</c:v>
                </c:pt>
                <c:pt idx="11">
                  <c:v>32.442473404582209</c:v>
                </c:pt>
                <c:pt idx="12">
                  <c:v>34.313736535207674</c:v>
                </c:pt>
                <c:pt idx="13">
                  <c:v>36.459840999983697</c:v>
                </c:pt>
                <c:pt idx="14">
                  <c:v>38.931748389865227</c:v>
                </c:pt>
                <c:pt idx="15">
                  <c:v>41.783522481525374</c:v>
                </c:pt>
                <c:pt idx="16">
                  <c:v>45.072429345465444</c:v>
                </c:pt>
                <c:pt idx="17">
                  <c:v>48.859011268620513</c:v>
                </c:pt>
                <c:pt idx="18">
                  <c:v>53.207142406037711</c:v>
                </c:pt>
                <c:pt idx="19">
                  <c:v>58.184071395447432</c:v>
                </c:pt>
                <c:pt idx="20">
                  <c:v>63.860454483897755</c:v>
                </c:pt>
                <c:pt idx="21">
                  <c:v>70.310381627288976</c:v>
                </c:pt>
                <c:pt idx="22">
                  <c:v>77.611397303132719</c:v>
                </c:pt>
                <c:pt idx="23">
                  <c:v>85.844517289323008</c:v>
                </c:pt>
                <c:pt idx="24">
                  <c:v>95.094242325283034</c:v>
                </c:pt>
                <c:pt idx="25">
                  <c:v>105.448569335553</c:v>
                </c:pt>
                <c:pt idx="26">
                  <c:v>116.99900072722345</c:v>
                </c:pt>
                <c:pt idx="27">
                  <c:v>129.84055215045549</c:v>
                </c:pt>
                <c:pt idx="28">
                  <c:v>144.07175902164957</c:v>
                </c:pt>
                <c:pt idx="29">
                  <c:v>159.79468204217261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BF5-4048-BA20-840A9EB6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43225382"/>
        <c:axId val="48498319"/>
      </c:lineChart>
      <c:catAx>
        <c:axId val="29387111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 sz="1000" b="1" strike="noStrike" spc="-1">
                    <a:solidFill>
                      <a:srgbClr val="000000"/>
                    </a:solidFill>
                    <a:latin typeface="Arial"/>
                  </a:rPr>
                  <a:t>Frequency (1-30 MHz)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825" b="0" strike="noStrike" spc="-1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87285557"/>
        <c:crossesAt val="-40"/>
        <c:auto val="1"/>
        <c:lblAlgn val="ctr"/>
        <c:lblOffset val="100"/>
        <c:noMultiLvlLbl val="1"/>
      </c:catAx>
      <c:valAx>
        <c:axId val="87285557"/>
        <c:scaling>
          <c:orientation val="minMax"/>
          <c:min val="-20"/>
        </c:scaling>
        <c:delete val="0"/>
        <c:axPos val="l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 sz="1000" b="1" strike="noStrike" spc="-1">
                    <a:solidFill>
                      <a:srgbClr val="000000"/>
                    </a:solidFill>
                    <a:latin typeface="Arial"/>
                  </a:rPr>
                  <a:t>Efficiency (dB)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29387111"/>
        <c:crossesAt val="1"/>
        <c:crossBetween val="midCat"/>
        <c:majorUnit val="1"/>
      </c:valAx>
      <c:catAx>
        <c:axId val="4322538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8498319"/>
        <c:crosses val="autoZero"/>
        <c:auto val="1"/>
        <c:lblAlgn val="ctr"/>
        <c:lblOffset val="100"/>
        <c:noMultiLvlLbl val="1"/>
      </c:catAx>
      <c:valAx>
        <c:axId val="48498319"/>
        <c:scaling>
          <c:orientation val="minMax"/>
          <c:max val="400"/>
        </c:scaling>
        <c:delete val="0"/>
        <c:axPos val="r"/>
        <c:title>
          <c:tx>
            <c:rich>
              <a:bodyPr rot="-5400000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 sz="1000" b="1" strike="noStrike" spc="-1">
                    <a:solidFill>
                      <a:srgbClr val="000000"/>
                    </a:solidFill>
                    <a:latin typeface="Arial"/>
                  </a:rPr>
                  <a:t>Bandwidth (kHz)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43225382"/>
        <c:crosses val="max"/>
        <c:crossBetween val="midCat"/>
        <c:majorUnit val="20"/>
      </c:valAx>
      <c:spPr>
        <a:solidFill>
          <a:srgbClr val="FFFFFF"/>
        </a:solidFill>
        <a:ln w="12600">
          <a:solidFill>
            <a:srgbClr val="000000"/>
          </a:solidFill>
          <a:round/>
        </a:ln>
      </c:spPr>
    </c:plotArea>
    <c:legend>
      <c:legendPos val="r"/>
      <c:layout>
        <c:manualLayout>
          <c:xMode val="edge"/>
          <c:yMode val="edge"/>
          <c:x val="0.87588719301551399"/>
          <c:y val="0.47738074282696702"/>
          <c:w val="0.104082914572864"/>
          <c:h val="6.6130735829127998E-2"/>
        </c:manualLayout>
      </c:layout>
      <c:overlay val="1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920" b="0" strike="noStrike" spc="-1">
              <a:solidFill>
                <a:srgbClr val="000000"/>
              </a:solidFill>
              <a:latin typeface="Arial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30600</xdr:colOff>
      <xdr:row>1</xdr:row>
      <xdr:rowOff>152280</xdr:rowOff>
    </xdr:from>
    <xdr:to>
      <xdr:col>16</xdr:col>
      <xdr:colOff>615600</xdr:colOff>
      <xdr:row>39</xdr:row>
      <xdr:rowOff>96480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a5tb@arrl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1048576"/>
  <sheetViews>
    <sheetView tabSelected="1" zoomScaleNormal="100" workbookViewId="0"/>
  </sheetViews>
  <sheetFormatPr defaultRowHeight="13.2" x14ac:dyDescent="0.25"/>
  <cols>
    <col min="1" max="1" width="9.109375" style="1" customWidth="1"/>
    <col min="2" max="2" width="24.5546875" style="2" customWidth="1"/>
    <col min="3" max="3" width="12.109375" style="3" customWidth="1"/>
    <col min="4" max="4" width="13.77734375" style="1" customWidth="1"/>
    <col min="5" max="5" width="8.6640625" style="1" customWidth="1"/>
    <col min="6" max="6" width="4.21875" style="1" customWidth="1"/>
    <col min="7" max="7" width="9.109375" style="4" customWidth="1"/>
    <col min="8" max="8" width="10.5546875" style="4" customWidth="1"/>
    <col min="9" max="14" width="9.109375" style="4" customWidth="1"/>
    <col min="15" max="257" width="9.109375" style="1" customWidth="1"/>
    <col min="258" max="1025" width="9.109375" customWidth="1"/>
  </cols>
  <sheetData>
    <row r="1" spans="1:14" ht="18" customHeight="1" x14ac:dyDescent="0.3">
      <c r="A1" s="4"/>
      <c r="B1" s="5"/>
      <c r="C1" s="6" t="s">
        <v>177</v>
      </c>
      <c r="D1" s="7"/>
      <c r="E1" s="4"/>
      <c r="F1" s="4"/>
    </row>
    <row r="2" spans="1:14" ht="12.75" customHeight="1" x14ac:dyDescent="0.25">
      <c r="A2" s="4"/>
      <c r="B2" s="8"/>
      <c r="C2" s="9" t="s">
        <v>0</v>
      </c>
      <c r="D2" s="4"/>
      <c r="E2" s="4"/>
      <c r="F2" s="4"/>
    </row>
    <row r="3" spans="1:14" ht="12.75" customHeight="1" x14ac:dyDescent="0.25">
      <c r="A3" s="4"/>
      <c r="B3" s="8"/>
      <c r="C3" s="213" t="s">
        <v>176</v>
      </c>
      <c r="D3" s="4"/>
      <c r="E3" s="4"/>
      <c r="F3" s="4"/>
    </row>
    <row r="4" spans="1:14" ht="12.75" customHeight="1" x14ac:dyDescent="0.25">
      <c r="A4" s="4"/>
      <c r="B4" s="8"/>
      <c r="C4" s="9" t="s">
        <v>1</v>
      </c>
      <c r="D4" s="4"/>
      <c r="E4" s="4"/>
      <c r="F4" s="4"/>
    </row>
    <row r="5" spans="1:14" ht="12.75" customHeight="1" x14ac:dyDescent="0.25">
      <c r="A5" s="4"/>
      <c r="B5" s="8"/>
      <c r="C5" s="10"/>
      <c r="D5" s="4"/>
      <c r="E5" s="4"/>
      <c r="F5" s="4"/>
    </row>
    <row r="6" spans="1:14" ht="12.75" customHeight="1" x14ac:dyDescent="0.25">
      <c r="A6" s="4"/>
      <c r="B6" s="11" t="s">
        <v>2</v>
      </c>
      <c r="C6" s="12"/>
      <c r="D6" s="11"/>
      <c r="E6" s="11"/>
      <c r="F6" s="13"/>
    </row>
    <row r="7" spans="1:14" ht="12.75" customHeight="1" x14ac:dyDescent="0.25">
      <c r="A7" s="4"/>
      <c r="B7" s="11" t="s">
        <v>3</v>
      </c>
      <c r="C7" s="12"/>
      <c r="D7" s="11"/>
      <c r="E7" s="11"/>
      <c r="F7" s="13"/>
    </row>
    <row r="8" spans="1:14" ht="12.75" customHeight="1" x14ac:dyDescent="0.25">
      <c r="A8" s="4"/>
      <c r="B8" s="11" t="s">
        <v>4</v>
      </c>
      <c r="C8" s="12"/>
      <c r="D8" s="11"/>
      <c r="E8" s="11"/>
      <c r="F8" s="13"/>
    </row>
    <row r="9" spans="1:14" ht="12.75" customHeight="1" x14ac:dyDescent="0.25">
      <c r="A9" s="4"/>
      <c r="B9" s="14" t="s">
        <v>5</v>
      </c>
      <c r="C9" s="12"/>
      <c r="D9" s="11"/>
      <c r="E9" s="11"/>
      <c r="F9" s="13"/>
    </row>
    <row r="10" spans="1:14" ht="12.75" customHeight="1" x14ac:dyDescent="0.25">
      <c r="A10" s="4"/>
      <c r="B10" s="11" t="s">
        <v>6</v>
      </c>
      <c r="C10" s="12"/>
      <c r="D10" s="11"/>
      <c r="E10" s="11"/>
      <c r="F10" s="13"/>
    </row>
    <row r="11" spans="1:14" ht="12.75" customHeight="1" x14ac:dyDescent="0.25">
      <c r="A11" s="4"/>
      <c r="B11" s="11" t="s">
        <v>7</v>
      </c>
      <c r="C11" s="12"/>
      <c r="D11" s="11"/>
      <c r="E11" s="11"/>
      <c r="F11" s="13"/>
    </row>
    <row r="12" spans="1:14" s="19" customFormat="1" ht="12.75" customHeight="1" x14ac:dyDescent="0.25">
      <c r="A12" s="15"/>
      <c r="B12" s="16"/>
      <c r="C12" s="17"/>
      <c r="D12" s="15"/>
      <c r="E12" s="15"/>
      <c r="F12" s="15"/>
      <c r="G12" s="15"/>
      <c r="H12" s="4"/>
      <c r="I12" s="18"/>
      <c r="J12" s="18"/>
      <c r="K12" s="18"/>
      <c r="L12" s="18"/>
      <c r="M12" s="18"/>
      <c r="N12" s="18"/>
    </row>
    <row r="13" spans="1:14" ht="12.75" customHeight="1" x14ac:dyDescent="0.25">
      <c r="A13" s="4"/>
      <c r="B13" s="4" t="s">
        <v>8</v>
      </c>
      <c r="C13" s="20"/>
      <c r="D13" s="4"/>
      <c r="E13" s="4"/>
      <c r="F13" s="4"/>
    </row>
    <row r="14" spans="1:14" ht="13.5" customHeight="1" x14ac:dyDescent="0.25">
      <c r="A14" s="4"/>
      <c r="B14" s="4"/>
      <c r="C14" s="20"/>
      <c r="D14" s="21"/>
      <c r="E14" s="21"/>
      <c r="F14" s="21"/>
    </row>
    <row r="15" spans="1:14" ht="12.75" customHeight="1" x14ac:dyDescent="0.25">
      <c r="A15" s="4"/>
      <c r="B15" s="22" t="s">
        <v>9</v>
      </c>
      <c r="C15" s="23">
        <v>18.100000000000001</v>
      </c>
      <c r="D15" s="24" t="s">
        <v>10</v>
      </c>
      <c r="E15" s="25" t="s">
        <v>11</v>
      </c>
      <c r="F15" s="26"/>
    </row>
    <row r="16" spans="1:14" ht="12.75" customHeight="1" x14ac:dyDescent="0.25">
      <c r="A16" s="4"/>
      <c r="B16" s="27" t="s">
        <v>12</v>
      </c>
      <c r="C16" s="28">
        <v>2.625</v>
      </c>
      <c r="D16" s="29" t="s">
        <v>13</v>
      </c>
      <c r="E16" s="30">
        <f>0.3048*C16</f>
        <v>0.80010000000000003</v>
      </c>
      <c r="F16" s="31" t="s">
        <v>14</v>
      </c>
    </row>
    <row r="17" spans="1:6" ht="12.75" customHeight="1" x14ac:dyDescent="0.25">
      <c r="A17" s="4"/>
      <c r="B17" s="27" t="s">
        <v>15</v>
      </c>
      <c r="C17" s="28">
        <v>0.49213000000000001</v>
      </c>
      <c r="D17" s="29" t="s">
        <v>16</v>
      </c>
      <c r="E17" s="32">
        <f>25.4*C17</f>
        <v>12.500102</v>
      </c>
      <c r="F17" s="31" t="s">
        <v>17</v>
      </c>
    </row>
    <row r="18" spans="1:6" ht="12.75" customHeight="1" x14ac:dyDescent="0.25">
      <c r="A18" s="4"/>
      <c r="B18" s="33" t="s">
        <v>18</v>
      </c>
      <c r="C18" s="34">
        <v>50</v>
      </c>
      <c r="D18" s="35" t="s">
        <v>19</v>
      </c>
      <c r="E18" s="36"/>
      <c r="F18" s="37"/>
    </row>
    <row r="19" spans="1:6" ht="12.75" customHeight="1" x14ac:dyDescent="0.25">
      <c r="A19" s="4"/>
      <c r="B19" s="38" t="s">
        <v>20</v>
      </c>
      <c r="C19" s="39">
        <v>80</v>
      </c>
      <c r="D19" s="40" t="s">
        <v>21</v>
      </c>
      <c r="E19" s="29"/>
      <c r="F19" s="41"/>
    </row>
    <row r="20" spans="1:6" ht="13.5" customHeight="1" x14ac:dyDescent="0.25">
      <c r="A20" s="4"/>
      <c r="B20" s="42" t="s">
        <v>22</v>
      </c>
      <c r="C20" s="43">
        <v>100</v>
      </c>
      <c r="D20" s="44" t="s">
        <v>23</v>
      </c>
      <c r="E20" s="44"/>
      <c r="F20" s="45"/>
    </row>
    <row r="21" spans="1:6" ht="12.75" customHeight="1" x14ac:dyDescent="0.25">
      <c r="A21" s="4"/>
      <c r="B21" s="8"/>
      <c r="C21" s="20"/>
      <c r="D21" s="4"/>
      <c r="E21" s="4"/>
      <c r="F21" s="4"/>
    </row>
    <row r="22" spans="1:6" ht="13.5" customHeight="1" x14ac:dyDescent="0.25">
      <c r="A22" s="4"/>
      <c r="B22" s="46" t="s">
        <v>24</v>
      </c>
      <c r="C22" s="20"/>
      <c r="D22" s="4"/>
      <c r="E22" s="4"/>
      <c r="F22" s="4"/>
    </row>
    <row r="23" spans="1:6" ht="12.75" customHeight="1" x14ac:dyDescent="0.25">
      <c r="A23" s="4"/>
      <c r="B23" s="47" t="s">
        <v>25</v>
      </c>
      <c r="C23" s="48"/>
      <c r="D23" s="49"/>
      <c r="E23" s="49"/>
      <c r="F23" s="50"/>
    </row>
    <row r="24" spans="1:6" ht="12.75" customHeight="1" x14ac:dyDescent="0.25">
      <c r="A24" s="4"/>
      <c r="B24" s="38" t="s">
        <v>26</v>
      </c>
      <c r="C24" s="51">
        <f>Calc1!D22</f>
        <v>49.26747163480902</v>
      </c>
      <c r="D24" s="52" t="s">
        <v>27</v>
      </c>
      <c r="E24" s="53"/>
      <c r="F24" s="54"/>
    </row>
    <row r="25" spans="1:6" ht="12.75" customHeight="1" x14ac:dyDescent="0.25">
      <c r="A25" s="4"/>
      <c r="B25" s="27" t="s">
        <v>28</v>
      </c>
      <c r="C25" s="55">
        <f>Calc1!D16</f>
        <v>32.367296475491706</v>
      </c>
      <c r="D25" s="56" t="s">
        <v>29</v>
      </c>
      <c r="E25" s="57">
        <f>Calc1!F16</f>
        <v>-4.8989357414730454</v>
      </c>
      <c r="F25" s="58" t="s">
        <v>30</v>
      </c>
    </row>
    <row r="26" spans="1:6" ht="12.75" customHeight="1" x14ac:dyDescent="0.25">
      <c r="A26" s="4"/>
      <c r="B26" s="27" t="s">
        <v>31</v>
      </c>
      <c r="C26" s="55">
        <f>Calc1!B12</f>
        <v>5.4118842196605419</v>
      </c>
      <c r="D26" s="56" t="s">
        <v>32</v>
      </c>
      <c r="E26" s="57">
        <f>Calc1!D12</f>
        <v>0.50278049613449216</v>
      </c>
      <c r="F26" s="58" t="s">
        <v>33</v>
      </c>
    </row>
    <row r="27" spans="1:6" ht="12.75" customHeight="1" x14ac:dyDescent="0.25">
      <c r="A27" s="4"/>
      <c r="B27" s="27" t="s">
        <v>34</v>
      </c>
      <c r="C27" s="57">
        <f>Calc1!D13</f>
        <v>106.24976874082185</v>
      </c>
      <c r="D27" s="56" t="s">
        <v>35</v>
      </c>
      <c r="E27" s="52"/>
      <c r="F27" s="54"/>
    </row>
    <row r="28" spans="1:6" ht="12.75" customHeight="1" x14ac:dyDescent="0.25">
      <c r="A28" s="4"/>
      <c r="B28" s="27" t="s">
        <v>36</v>
      </c>
      <c r="C28" s="57">
        <f>Calc1!D15</f>
        <v>222.01295416306183</v>
      </c>
      <c r="D28" s="56" t="s">
        <v>35</v>
      </c>
      <c r="E28" s="56"/>
      <c r="F28" s="58"/>
    </row>
    <row r="29" spans="1:6" ht="12.75" customHeight="1" x14ac:dyDescent="0.25">
      <c r="A29" s="4"/>
      <c r="B29" s="27" t="s">
        <v>37</v>
      </c>
      <c r="C29" s="55">
        <f>Calc1!B11</f>
        <v>8.2466807156732074</v>
      </c>
      <c r="D29" s="56" t="s">
        <v>38</v>
      </c>
      <c r="E29" s="59">
        <f>0.3048*C29</f>
        <v>2.5135882821371935</v>
      </c>
      <c r="F29" s="60" t="s">
        <v>14</v>
      </c>
    </row>
    <row r="30" spans="1:6" ht="12.75" customHeight="1" x14ac:dyDescent="0.25">
      <c r="A30" s="4"/>
      <c r="B30" s="27" t="s">
        <v>39</v>
      </c>
      <c r="C30" s="57">
        <f>Calc1!B27</f>
        <v>15.175787262105253</v>
      </c>
      <c r="D30" s="56" t="s">
        <v>40</v>
      </c>
      <c r="E30" s="57"/>
      <c r="F30" s="58"/>
    </row>
    <row r="31" spans="1:6" ht="12.75" customHeight="1" x14ac:dyDescent="0.25">
      <c r="A31" s="4"/>
      <c r="B31" s="27" t="s">
        <v>41</v>
      </c>
      <c r="C31" s="55">
        <f>Calc1!D17</f>
        <v>2.120857159880952</v>
      </c>
      <c r="D31" s="61" t="s">
        <v>42</v>
      </c>
      <c r="E31" s="62"/>
      <c r="F31" s="58"/>
    </row>
    <row r="32" spans="1:6" ht="12.75" customHeight="1" x14ac:dyDescent="0.25">
      <c r="A32" s="4"/>
      <c r="B32" s="27" t="s">
        <v>43</v>
      </c>
      <c r="C32" s="55">
        <f>Calc1!B23</f>
        <v>3.5684460000000002</v>
      </c>
      <c r="D32" s="56" t="s">
        <v>44</v>
      </c>
      <c r="E32" s="57"/>
      <c r="F32" s="58"/>
    </row>
    <row r="33" spans="1:6" ht="12.75" customHeight="1" x14ac:dyDescent="0.25">
      <c r="A33" s="4"/>
      <c r="B33" s="27" t="s">
        <v>45</v>
      </c>
      <c r="C33" s="55">
        <f>Calc1!B20</f>
        <v>367.38235999128841</v>
      </c>
      <c r="D33" s="56"/>
      <c r="E33" s="63"/>
      <c r="F33" s="58"/>
    </row>
    <row r="34" spans="1:6" ht="12.75" customHeight="1" x14ac:dyDescent="0.25">
      <c r="A34" s="4"/>
      <c r="B34" s="64" t="s">
        <v>46</v>
      </c>
      <c r="C34" s="65">
        <f>Calc1!B21</f>
        <v>1135.0418477782591</v>
      </c>
      <c r="D34" s="35"/>
      <c r="E34" s="66" t="s">
        <v>47</v>
      </c>
      <c r="F34" s="67"/>
    </row>
    <row r="35" spans="1:6" ht="12.75" customHeight="1" x14ac:dyDescent="0.25">
      <c r="A35" s="4"/>
      <c r="B35" s="27" t="s">
        <v>48</v>
      </c>
      <c r="C35" s="55">
        <f>Calc1!D19</f>
        <v>36.456224823880845</v>
      </c>
      <c r="D35" s="56" t="s">
        <v>49</v>
      </c>
      <c r="E35" s="63"/>
      <c r="F35" s="58"/>
    </row>
    <row r="36" spans="1:6" ht="12.75" customHeight="1" x14ac:dyDescent="0.25">
      <c r="A36" s="4"/>
      <c r="B36" s="27" t="s">
        <v>50</v>
      </c>
      <c r="C36" s="55">
        <f>Calc1!B24</f>
        <v>2976.7617823174555</v>
      </c>
      <c r="D36" s="56" t="s">
        <v>51</v>
      </c>
      <c r="E36" s="63"/>
      <c r="F36" s="58"/>
    </row>
    <row r="37" spans="1:6" ht="13.5" customHeight="1" x14ac:dyDescent="0.25">
      <c r="A37" s="68"/>
      <c r="B37" s="42" t="s">
        <v>52</v>
      </c>
      <c r="C37" s="69">
        <f>Calc1!D25</f>
        <v>39.690157097566079</v>
      </c>
      <c r="D37" s="70" t="s">
        <v>53</v>
      </c>
      <c r="E37" s="71">
        <f>Calc1!F25</f>
        <v>1.0081299902781784</v>
      </c>
      <c r="F37" s="72" t="s">
        <v>17</v>
      </c>
    </row>
    <row r="38" spans="1:6" ht="12.75" customHeight="1" x14ac:dyDescent="0.25">
      <c r="A38" s="4"/>
      <c r="B38" s="8"/>
      <c r="C38" s="20"/>
      <c r="D38" s="4"/>
      <c r="E38" s="4"/>
      <c r="F38" s="4"/>
    </row>
    <row r="39" spans="1:6" ht="12.75" customHeight="1" x14ac:dyDescent="0.25">
      <c r="A39" s="4" t="s">
        <v>54</v>
      </c>
      <c r="B39" s="73"/>
      <c r="C39" s="20"/>
      <c r="D39" s="4"/>
      <c r="E39" s="4"/>
      <c r="F39" s="4"/>
    </row>
    <row r="40" spans="1:6" ht="12.75" customHeight="1" x14ac:dyDescent="0.25">
      <c r="A40" s="4"/>
      <c r="B40" s="40" t="s">
        <v>55</v>
      </c>
      <c r="C40" s="74"/>
      <c r="D40" s="40"/>
      <c r="E40" s="40"/>
      <c r="F40" s="4"/>
    </row>
    <row r="41" spans="1:6" ht="12.75" customHeight="1" x14ac:dyDescent="0.25">
      <c r="A41" s="4"/>
      <c r="B41" s="46" t="s">
        <v>56</v>
      </c>
      <c r="C41" s="74"/>
      <c r="D41" s="40"/>
      <c r="E41" s="40"/>
      <c r="F41" s="4"/>
    </row>
    <row r="42" spans="1:6" ht="12.75" customHeight="1" x14ac:dyDescent="0.25">
      <c r="A42" s="4"/>
      <c r="B42" s="40" t="s">
        <v>57</v>
      </c>
      <c r="C42" s="74"/>
      <c r="D42" s="40"/>
      <c r="E42" s="40"/>
      <c r="F42" s="4"/>
    </row>
    <row r="43" spans="1:6" ht="12.75" customHeight="1" x14ac:dyDescent="0.25">
      <c r="A43" s="4"/>
      <c r="B43" s="75" t="s">
        <v>58</v>
      </c>
      <c r="C43" s="74"/>
      <c r="D43" s="40"/>
      <c r="E43" s="40"/>
      <c r="F43" s="4"/>
    </row>
    <row r="44" spans="1:6" ht="12.75" customHeight="1" x14ac:dyDescent="0.25">
      <c r="A44" s="4"/>
      <c r="B44" s="73" t="s">
        <v>59</v>
      </c>
      <c r="C44" s="20"/>
      <c r="D44" s="4"/>
      <c r="E44" s="4"/>
      <c r="F44" s="4"/>
    </row>
    <row r="45" spans="1:6" ht="12.75" customHeight="1" x14ac:dyDescent="0.25">
      <c r="A45" s="68"/>
      <c r="B45" s="76" t="s">
        <v>60</v>
      </c>
      <c r="C45" s="77"/>
      <c r="D45" s="68"/>
      <c r="E45" s="68"/>
      <c r="F45" s="68"/>
    </row>
    <row r="46" spans="1:6" ht="12.75" customHeight="1" x14ac:dyDescent="0.25">
      <c r="A46" s="68"/>
      <c r="B46" s="78" t="s">
        <v>61</v>
      </c>
      <c r="C46" s="77"/>
      <c r="D46" s="68"/>
      <c r="E46" s="68"/>
      <c r="F46" s="68"/>
    </row>
    <row r="47" spans="1:6" ht="12.75" customHeight="1" x14ac:dyDescent="0.25">
      <c r="B47" s="79" t="s">
        <v>62</v>
      </c>
    </row>
    <row r="48" spans="1:6" ht="13.5" customHeight="1" x14ac:dyDescent="0.25"/>
    <row r="49" spans="1:257" ht="12.75" customHeight="1" x14ac:dyDescent="0.25">
      <c r="B49" s="80" t="s">
        <v>63</v>
      </c>
      <c r="C49" s="81"/>
      <c r="D49" s="82"/>
      <c r="E49" s="82"/>
      <c r="F49" s="82"/>
      <c r="G49" s="83"/>
      <c r="H49" s="84"/>
    </row>
    <row r="50" spans="1:257" ht="12.75" customHeight="1" x14ac:dyDescent="0.25">
      <c r="B50" s="85" t="s">
        <v>64</v>
      </c>
      <c r="C50" s="86"/>
      <c r="D50" s="87"/>
      <c r="E50" s="87"/>
      <c r="F50" s="87"/>
      <c r="G50" s="88"/>
      <c r="H50" s="89"/>
    </row>
    <row r="51" spans="1:257" ht="12.75" customHeight="1" x14ac:dyDescent="0.25">
      <c r="B51" s="90"/>
      <c r="C51" s="91"/>
      <c r="D51" s="92"/>
      <c r="E51" s="92"/>
      <c r="F51" s="92"/>
      <c r="G51" s="40"/>
      <c r="H51" s="93"/>
    </row>
    <row r="52" spans="1:257" ht="12.75" customHeight="1" x14ac:dyDescent="0.25">
      <c r="B52" s="94" t="s">
        <v>65</v>
      </c>
      <c r="C52" s="95">
        <v>10128</v>
      </c>
      <c r="D52" s="96" t="s">
        <v>66</v>
      </c>
      <c r="E52" s="97"/>
      <c r="F52" s="97"/>
      <c r="G52" s="29"/>
      <c r="H52" s="41"/>
    </row>
    <row r="53" spans="1:257" ht="12.75" customHeight="1" x14ac:dyDescent="0.25">
      <c r="B53" s="98" t="s">
        <v>67</v>
      </c>
      <c r="C53" s="99">
        <v>10138</v>
      </c>
      <c r="D53" s="100" t="s">
        <v>66</v>
      </c>
      <c r="G53" s="1"/>
      <c r="H53" s="101"/>
    </row>
    <row r="54" spans="1:257" ht="12.75" customHeight="1" x14ac:dyDescent="0.25">
      <c r="B54" s="98"/>
      <c r="C54" s="102"/>
      <c r="D54" s="100"/>
      <c r="E54" s="97"/>
      <c r="F54" s="97"/>
      <c r="G54" s="97"/>
      <c r="H54" s="101"/>
    </row>
    <row r="55" spans="1:257" ht="12.75" customHeight="1" x14ac:dyDescent="0.25">
      <c r="B55" s="103" t="s">
        <v>68</v>
      </c>
      <c r="C55" s="104">
        <f>SQRT(C52*C53)/1000</f>
        <v>10.132998766406715</v>
      </c>
      <c r="D55" s="105" t="s">
        <v>10</v>
      </c>
      <c r="E55" s="106" t="s">
        <v>69</v>
      </c>
      <c r="F55" s="106"/>
      <c r="G55" s="106"/>
      <c r="H55" s="107"/>
    </row>
    <row r="56" spans="1:257" ht="12.75" customHeight="1" x14ac:dyDescent="0.25">
      <c r="B56" s="103" t="s">
        <v>70</v>
      </c>
      <c r="C56" s="66">
        <f>ABS(C53-C52)</f>
        <v>10</v>
      </c>
      <c r="D56" s="66" t="s">
        <v>66</v>
      </c>
      <c r="E56" s="108"/>
      <c r="F56" s="66"/>
      <c r="G56" s="66"/>
      <c r="H56" s="41"/>
    </row>
    <row r="57" spans="1:257" ht="12.75" customHeight="1" x14ac:dyDescent="0.25">
      <c r="B57" s="94" t="s">
        <v>71</v>
      </c>
      <c r="C57" s="109">
        <f>SQRT(C52*C53)/ABS(C53-C52)</f>
        <v>1013.2998766406714</v>
      </c>
      <c r="D57" s="110"/>
      <c r="E57" s="110"/>
      <c r="F57" s="110"/>
      <c r="G57" s="35"/>
      <c r="H57" s="41"/>
    </row>
    <row r="58" spans="1:257" ht="13.5" customHeight="1" x14ac:dyDescent="0.25">
      <c r="B58" s="111" t="s">
        <v>72</v>
      </c>
      <c r="C58" s="112">
        <f>100*C57/C34</f>
        <v>89.274230604282437</v>
      </c>
      <c r="D58" s="113" t="s">
        <v>29</v>
      </c>
      <c r="E58" s="114">
        <f>10*LOG(C58/100)</f>
        <v>-0.49273884016775737</v>
      </c>
      <c r="F58" s="113" t="s">
        <v>30</v>
      </c>
      <c r="G58" s="115"/>
      <c r="H58" s="116"/>
    </row>
    <row r="59" spans="1:257" s="119" customFormat="1" ht="12.75" customHeight="1" x14ac:dyDescent="0.25">
      <c r="A59" s="76"/>
      <c r="B59" s="76"/>
      <c r="C59" s="117"/>
      <c r="D59" s="76"/>
      <c r="E59" s="76"/>
      <c r="F59" s="76"/>
      <c r="G59" s="118"/>
      <c r="H59" s="118"/>
      <c r="I59" s="118"/>
      <c r="J59" s="118"/>
      <c r="K59" s="118"/>
      <c r="L59" s="118"/>
      <c r="M59" s="118"/>
      <c r="N59" s="118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  <c r="IQ59" s="76"/>
      <c r="IR59" s="76"/>
      <c r="IS59" s="76"/>
      <c r="IT59" s="76"/>
      <c r="IU59" s="76"/>
      <c r="IV59" s="76"/>
      <c r="IW59" s="76"/>
    </row>
    <row r="60" spans="1:257" s="119" customFormat="1" ht="12.75" customHeight="1" x14ac:dyDescent="0.25">
      <c r="A60" s="76"/>
      <c r="B60" s="120" t="s">
        <v>73</v>
      </c>
      <c r="C60" s="117"/>
      <c r="D60" s="76"/>
      <c r="E60" s="76"/>
      <c r="F60" s="76"/>
      <c r="G60" s="118"/>
      <c r="H60" s="118"/>
      <c r="I60" s="118"/>
      <c r="J60" s="118"/>
      <c r="K60" s="118"/>
      <c r="L60" s="118"/>
      <c r="M60" s="118"/>
      <c r="N60" s="118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  <c r="IQ60" s="76"/>
      <c r="IR60" s="76"/>
      <c r="IS60" s="76"/>
      <c r="IT60" s="76"/>
      <c r="IU60" s="76"/>
      <c r="IV60" s="76"/>
      <c r="IW60" s="76"/>
    </row>
    <row r="61" spans="1:257" s="119" customFormat="1" ht="12.75" customHeight="1" x14ac:dyDescent="0.25">
      <c r="A61" s="76"/>
      <c r="B61" s="120" t="s">
        <v>74</v>
      </c>
      <c r="C61" s="117"/>
      <c r="D61" s="76"/>
      <c r="E61" s="76"/>
      <c r="F61" s="76"/>
      <c r="G61" s="118"/>
      <c r="H61" s="118"/>
      <c r="I61" s="118"/>
      <c r="J61" s="118"/>
      <c r="K61" s="118"/>
      <c r="L61" s="118"/>
      <c r="M61" s="118"/>
      <c r="N61" s="118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  <c r="IQ61" s="76"/>
      <c r="IR61" s="76"/>
      <c r="IS61" s="76"/>
      <c r="IT61" s="76"/>
      <c r="IU61" s="76"/>
      <c r="IV61" s="76"/>
      <c r="IW61" s="76"/>
    </row>
    <row r="62" spans="1:257" s="119" customFormat="1" ht="12.75" customHeight="1" x14ac:dyDescent="0.25">
      <c r="A62" s="76"/>
      <c r="B62" s="76"/>
      <c r="C62" s="117"/>
      <c r="D62" s="76"/>
      <c r="E62" s="76"/>
      <c r="F62" s="76"/>
      <c r="G62" s="118"/>
      <c r="H62" s="118"/>
      <c r="I62" s="118"/>
      <c r="J62" s="118"/>
      <c r="K62" s="118"/>
      <c r="L62" s="118"/>
      <c r="M62" s="118"/>
      <c r="N62" s="118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  <c r="IQ62" s="76"/>
      <c r="IR62" s="76"/>
      <c r="IS62" s="76"/>
      <c r="IT62" s="76"/>
      <c r="IU62" s="76"/>
      <c r="IV62" s="76"/>
      <c r="IW62" s="76"/>
    </row>
    <row r="1048575" ht="12.75" customHeight="1" x14ac:dyDescent="0.25"/>
    <row r="1048576" ht="12.75" customHeight="1" x14ac:dyDescent="0.25"/>
  </sheetData>
  <hyperlinks>
    <hyperlink ref="C3" r:id="rId1" xr:uid="{00000000-0004-0000-0000-000000000000}"/>
  </hyperlinks>
  <pageMargins left="0.75" right="0.75" top="1" bottom="1" header="0.51180555555555496" footer="0.51180555555555496"/>
  <pageSetup firstPageNumber="0" orientation="portrait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27"/>
  <sheetViews>
    <sheetView zoomScaleNormal="100" workbookViewId="0">
      <selection activeCell="D16" sqref="D16"/>
    </sheetView>
  </sheetViews>
  <sheetFormatPr defaultRowHeight="13.2" x14ac:dyDescent="0.25"/>
  <cols>
    <col min="1" max="1" width="9.109375" style="1" customWidth="1"/>
    <col min="2" max="2" width="7.44140625" style="1" customWidth="1"/>
    <col min="3" max="3" width="59.109375" style="1" customWidth="1"/>
    <col min="4" max="257" width="9.109375" style="1" customWidth="1"/>
    <col min="258" max="1025" width="9.109375" customWidth="1"/>
  </cols>
  <sheetData>
    <row r="1" spans="2:4" ht="15.75" customHeight="1" x14ac:dyDescent="0.3">
      <c r="C1" s="121" t="s">
        <v>75</v>
      </c>
    </row>
    <row r="2" spans="2:4" ht="16.5" customHeight="1" x14ac:dyDescent="0.4">
      <c r="C2" s="122" t="s">
        <v>76</v>
      </c>
    </row>
    <row r="4" spans="2:4" ht="15" customHeight="1" x14ac:dyDescent="0.4">
      <c r="C4" s="123" t="s">
        <v>77</v>
      </c>
    </row>
    <row r="5" spans="2:4" ht="15" customHeight="1" x14ac:dyDescent="0.4">
      <c r="C5" s="123" t="s">
        <v>78</v>
      </c>
      <c r="D5" s="124" t="s">
        <v>79</v>
      </c>
    </row>
    <row r="6" spans="2:4" ht="15" customHeight="1" x14ac:dyDescent="0.4">
      <c r="C6" s="123" t="s">
        <v>80</v>
      </c>
    </row>
    <row r="7" spans="2:4" ht="15" customHeight="1" x14ac:dyDescent="0.4">
      <c r="C7" s="123" t="s">
        <v>81</v>
      </c>
    </row>
    <row r="8" spans="2:4" ht="15" customHeight="1" x14ac:dyDescent="0.4">
      <c r="C8" s="123" t="s">
        <v>82</v>
      </c>
    </row>
    <row r="9" spans="2:4" ht="15" customHeight="1" x14ac:dyDescent="0.4">
      <c r="C9" s="123" t="s">
        <v>83</v>
      </c>
      <c r="D9" s="124" t="s">
        <v>84</v>
      </c>
    </row>
    <row r="10" spans="2:4" ht="15" customHeight="1" x14ac:dyDescent="0.4">
      <c r="C10" s="123" t="s">
        <v>85</v>
      </c>
    </row>
    <row r="11" spans="2:4" ht="15" customHeight="1" x14ac:dyDescent="0.4">
      <c r="C11" s="123" t="s">
        <v>86</v>
      </c>
    </row>
    <row r="12" spans="2:4" ht="15" customHeight="1" x14ac:dyDescent="0.4">
      <c r="C12" s="123" t="s">
        <v>87</v>
      </c>
      <c r="D12" s="125" t="s">
        <v>88</v>
      </c>
    </row>
    <row r="13" spans="2:4" ht="15" customHeight="1" x14ac:dyDescent="0.4">
      <c r="C13" s="123" t="s">
        <v>89</v>
      </c>
      <c r="D13" s="124" t="s">
        <v>90</v>
      </c>
    </row>
    <row r="14" spans="2:4" ht="15" customHeight="1" x14ac:dyDescent="0.4">
      <c r="C14" s="123" t="s">
        <v>91</v>
      </c>
    </row>
    <row r="15" spans="2:4" ht="15" customHeight="1" x14ac:dyDescent="0.4">
      <c r="C15" s="123" t="s">
        <v>92</v>
      </c>
    </row>
    <row r="16" spans="2:4" ht="16.5" customHeight="1" x14ac:dyDescent="0.4">
      <c r="B16" s="126" t="s">
        <v>93</v>
      </c>
    </row>
    <row r="17" spans="1:3" ht="15" customHeight="1" x14ac:dyDescent="0.4">
      <c r="C17" s="123" t="s">
        <v>94</v>
      </c>
    </row>
    <row r="18" spans="1:3" ht="15" customHeight="1" x14ac:dyDescent="0.4">
      <c r="C18" s="123" t="s">
        <v>95</v>
      </c>
    </row>
    <row r="19" spans="1:3" ht="15" customHeight="1" x14ac:dyDescent="0.4">
      <c r="C19" s="123" t="s">
        <v>96</v>
      </c>
    </row>
    <row r="20" spans="1:3" ht="15" customHeight="1" x14ac:dyDescent="0.4">
      <c r="C20" s="123" t="s">
        <v>97</v>
      </c>
    </row>
    <row r="21" spans="1:3" ht="15" customHeight="1" x14ac:dyDescent="0.4">
      <c r="C21" s="123" t="s">
        <v>98</v>
      </c>
    </row>
    <row r="22" spans="1:3" ht="15" customHeight="1" x14ac:dyDescent="0.4">
      <c r="C22" s="123" t="s">
        <v>99</v>
      </c>
    </row>
    <row r="23" spans="1:3" ht="15" customHeight="1" x14ac:dyDescent="0.4">
      <c r="C23" s="123" t="s">
        <v>100</v>
      </c>
    </row>
    <row r="24" spans="1:3" ht="15" customHeight="1" x14ac:dyDescent="0.4">
      <c r="C24" s="123"/>
    </row>
    <row r="25" spans="1:3" ht="15" customHeight="1" x14ac:dyDescent="0.4">
      <c r="A25" s="127" t="s">
        <v>101</v>
      </c>
      <c r="B25" s="128" t="s">
        <v>102</v>
      </c>
    </row>
    <row r="26" spans="1:3" ht="15" customHeight="1" x14ac:dyDescent="0.4">
      <c r="B26" s="128" t="s">
        <v>103</v>
      </c>
    </row>
    <row r="27" spans="1:3" ht="15" customHeight="1" x14ac:dyDescent="0.4">
      <c r="B27" s="128" t="s">
        <v>104</v>
      </c>
    </row>
  </sheetData>
  <pageMargins left="0.75" right="0.75" top="1" bottom="1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63"/>
  <sheetViews>
    <sheetView topLeftCell="A10" zoomScaleNormal="100" workbookViewId="0">
      <selection activeCell="H23" sqref="H23"/>
    </sheetView>
  </sheetViews>
  <sheetFormatPr defaultRowHeight="13.2" x14ac:dyDescent="0.25"/>
  <cols>
    <col min="1" max="1" width="25.109375" style="1" customWidth="1"/>
    <col min="2" max="2" width="15.21875" style="129" customWidth="1"/>
    <col min="3" max="5" width="13.6640625" style="129" customWidth="1"/>
    <col min="6" max="6" width="17.5546875" style="129" customWidth="1"/>
    <col min="7" max="13" width="13.6640625" style="129" customWidth="1"/>
    <col min="14" max="14" width="15.6640625" style="1" customWidth="1"/>
    <col min="15" max="15" width="12.77734375" style="1" customWidth="1"/>
    <col min="16" max="16" width="19.109375" style="1" customWidth="1"/>
    <col min="17" max="17" width="9.109375" style="1" customWidth="1"/>
    <col min="18" max="18" width="18" style="1" customWidth="1"/>
    <col min="19" max="257" width="9.109375" style="1" customWidth="1"/>
    <col min="258" max="1025" width="9.109375" customWidth="1"/>
  </cols>
  <sheetData>
    <row r="1" spans="1:7" ht="12.75" customHeight="1" x14ac:dyDescent="0.25">
      <c r="A1" s="130"/>
    </row>
    <row r="2" spans="1:7" ht="12.75" customHeight="1" x14ac:dyDescent="0.25">
      <c r="A2" s="2" t="s">
        <v>105</v>
      </c>
      <c r="G2" s="131"/>
    </row>
    <row r="3" spans="1:7" ht="12.75" customHeight="1" x14ac:dyDescent="0.25">
      <c r="A3" s="132" t="s">
        <v>106</v>
      </c>
      <c r="B3" s="133">
        <f>PI()</f>
        <v>3.1415926535897931</v>
      </c>
      <c r="C3" s="134"/>
      <c r="D3" s="135"/>
      <c r="E3" s="136"/>
      <c r="F3" s="131" t="s">
        <v>107</v>
      </c>
    </row>
    <row r="4" spans="1:7" ht="12.75" customHeight="1" x14ac:dyDescent="0.25">
      <c r="A4" s="137" t="s">
        <v>108</v>
      </c>
      <c r="B4" s="138">
        <f>(Main!C16)*12</f>
        <v>31.5</v>
      </c>
      <c r="C4" s="135" t="s">
        <v>16</v>
      </c>
      <c r="D4" s="139">
        <f>B4*0.0254</f>
        <v>0.80009999999999992</v>
      </c>
      <c r="E4" s="140" t="s">
        <v>14</v>
      </c>
      <c r="F4" s="139">
        <f>D4*PI()</f>
        <v>2.5135882821371931</v>
      </c>
    </row>
    <row r="5" spans="1:7" ht="12.75" customHeight="1" x14ac:dyDescent="0.25">
      <c r="A5" s="137" t="s">
        <v>109</v>
      </c>
      <c r="B5" s="138">
        <f>Main!C17</f>
        <v>0.49213000000000001</v>
      </c>
      <c r="C5" s="135" t="s">
        <v>16</v>
      </c>
      <c r="D5" s="135">
        <f>B5*0.0254</f>
        <v>1.2500101999999999E-2</v>
      </c>
      <c r="E5" s="136" t="s">
        <v>14</v>
      </c>
    </row>
    <row r="6" spans="1:7" ht="12.75" customHeight="1" x14ac:dyDescent="0.25">
      <c r="A6" s="137" t="s">
        <v>110</v>
      </c>
      <c r="B6" s="138">
        <f>Main!C19</f>
        <v>80</v>
      </c>
      <c r="C6" s="135" t="s">
        <v>35</v>
      </c>
      <c r="D6" s="135">
        <f>B6/1000</f>
        <v>0.08</v>
      </c>
      <c r="E6" s="136" t="s">
        <v>111</v>
      </c>
    </row>
    <row r="7" spans="1:7" ht="12.75" customHeight="1" x14ac:dyDescent="0.25">
      <c r="A7" s="137" t="s">
        <v>112</v>
      </c>
      <c r="B7" s="141">
        <f>Main!C20</f>
        <v>100</v>
      </c>
      <c r="C7" s="134" t="s">
        <v>23</v>
      </c>
      <c r="D7" s="135"/>
      <c r="E7" s="136"/>
    </row>
    <row r="8" spans="1:7" ht="12.75" customHeight="1" x14ac:dyDescent="0.25">
      <c r="A8" s="137" t="s">
        <v>113</v>
      </c>
      <c r="B8" s="138">
        <f>Main!C15</f>
        <v>18.100000000000001</v>
      </c>
      <c r="C8" s="135" t="s">
        <v>10</v>
      </c>
      <c r="D8" s="142">
        <f>B8*1000000</f>
        <v>18100000</v>
      </c>
      <c r="E8" s="136" t="s">
        <v>114</v>
      </c>
    </row>
    <row r="9" spans="1:7" ht="12.75" customHeight="1" x14ac:dyDescent="0.25">
      <c r="A9" s="130"/>
      <c r="B9" s="143">
        <f>(96*B11)/(B3*B5)</f>
        <v>512.05982159185578</v>
      </c>
    </row>
    <row r="10" spans="1:7" ht="12.75" customHeight="1" x14ac:dyDescent="0.25">
      <c r="A10" s="2" t="s">
        <v>115</v>
      </c>
    </row>
    <row r="11" spans="1:7" ht="12.75" customHeight="1" x14ac:dyDescent="0.25">
      <c r="A11" s="137" t="s">
        <v>116</v>
      </c>
      <c r="B11" s="144">
        <f>(Main!C16*B3)</f>
        <v>8.2466807156732074</v>
      </c>
      <c r="C11" s="145" t="s">
        <v>117</v>
      </c>
      <c r="D11" s="146">
        <f>B11*0.3048</f>
        <v>2.5135882821371935</v>
      </c>
      <c r="E11" s="146" t="s">
        <v>14</v>
      </c>
      <c r="F11" s="147"/>
      <c r="G11" s="148"/>
    </row>
    <row r="12" spans="1:7" ht="12.75" customHeight="1" x14ac:dyDescent="0.25">
      <c r="A12" s="137" t="s">
        <v>118</v>
      </c>
      <c r="B12" s="144">
        <f>B3*((B4/24)*(B4/24))</f>
        <v>5.4118842196605419</v>
      </c>
      <c r="C12" s="145" t="s">
        <v>32</v>
      </c>
      <c r="D12" s="146">
        <f>B12*0.09290304</f>
        <v>0.50278049613449216</v>
      </c>
      <c r="E12" s="146" t="s">
        <v>33</v>
      </c>
      <c r="F12" s="146"/>
      <c r="G12" s="149"/>
    </row>
    <row r="13" spans="1:7" ht="12.75" customHeight="1" x14ac:dyDescent="0.25">
      <c r="A13" s="137" t="s">
        <v>119</v>
      </c>
      <c r="B13" s="150">
        <f>(0.0000000338)*(((B8*B8)*B12)*((B8*B8)*B12))</f>
        <v>0.10624976874082186</v>
      </c>
      <c r="C13" s="146" t="s">
        <v>111</v>
      </c>
      <c r="D13" s="145">
        <f>B13*1000</f>
        <v>106.24976874082185</v>
      </c>
      <c r="E13" s="145" t="s">
        <v>35</v>
      </c>
      <c r="F13" s="146"/>
      <c r="G13" s="149"/>
    </row>
    <row r="14" spans="1:7" ht="12.75" customHeight="1" x14ac:dyDescent="0.25">
      <c r="A14" s="137" t="s">
        <v>120</v>
      </c>
      <c r="B14" s="150">
        <f>(0.000996)*SQRT(B8)*(B11/B5)/(Main!C18/100)</f>
        <v>0.14201295416306181</v>
      </c>
      <c r="C14" s="146" t="s">
        <v>111</v>
      </c>
      <c r="D14" s="145">
        <f>B14*1000</f>
        <v>142.01295416306181</v>
      </c>
      <c r="E14" s="151" t="s">
        <v>35</v>
      </c>
      <c r="F14" s="146"/>
      <c r="G14" s="149"/>
    </row>
    <row r="15" spans="1:7" ht="12.75" customHeight="1" x14ac:dyDescent="0.25">
      <c r="A15" s="137" t="s">
        <v>121</v>
      </c>
      <c r="B15" s="152">
        <f>D6+B14</f>
        <v>0.22201295416306183</v>
      </c>
      <c r="C15" s="153" t="s">
        <v>111</v>
      </c>
      <c r="D15" s="154">
        <f>B15*1000</f>
        <v>222.01295416306183</v>
      </c>
      <c r="E15" s="145" t="s">
        <v>35</v>
      </c>
      <c r="F15" s="146"/>
      <c r="G15" s="149"/>
    </row>
    <row r="16" spans="1:7" ht="12.75" customHeight="1" x14ac:dyDescent="0.25">
      <c r="A16" s="137" t="s">
        <v>122</v>
      </c>
      <c r="B16" s="155">
        <f>B13/(B13+B15)</f>
        <v>0.32367296475491708</v>
      </c>
      <c r="C16" s="156"/>
      <c r="D16" s="157">
        <f>B16*100</f>
        <v>32.367296475491706</v>
      </c>
      <c r="E16" s="157" t="s">
        <v>29</v>
      </c>
      <c r="F16" s="151">
        <f>(LOG10(B16))*10</f>
        <v>-4.8989357414730454</v>
      </c>
      <c r="G16" s="158" t="s">
        <v>30</v>
      </c>
    </row>
    <row r="17" spans="1:18" ht="12.75" customHeight="1" x14ac:dyDescent="0.25">
      <c r="A17" s="137" t="s">
        <v>123</v>
      </c>
      <c r="B17" s="150">
        <f>(0.000000019)*B11*((7.353*(LOG(B9,10))-6.386))</f>
        <v>2.120857159880952E-6</v>
      </c>
      <c r="C17" s="146" t="s">
        <v>124</v>
      </c>
      <c r="D17" s="145">
        <f>B17*1000000</f>
        <v>2.120857159880952</v>
      </c>
      <c r="E17" s="145" t="s">
        <v>42</v>
      </c>
      <c r="F17" s="146"/>
      <c r="G17" s="149"/>
    </row>
    <row r="18" spans="1:18" ht="12.75" customHeight="1" x14ac:dyDescent="0.25">
      <c r="A18" s="137" t="s">
        <v>125</v>
      </c>
      <c r="B18" s="159">
        <f>2*B3*B8*B17*1000000</f>
        <v>241.1958676751903</v>
      </c>
      <c r="C18" s="145" t="s">
        <v>111</v>
      </c>
      <c r="D18" s="146"/>
      <c r="E18" s="146"/>
      <c r="F18" s="146"/>
      <c r="G18" s="149"/>
    </row>
    <row r="19" spans="1:18" ht="12.75" customHeight="1" x14ac:dyDescent="0.25">
      <c r="A19" s="137" t="s">
        <v>126</v>
      </c>
      <c r="B19" s="150">
        <f>1/(2*B3*B8*B18*1000000)</f>
        <v>3.6456224823880848E-11</v>
      </c>
      <c r="C19" s="146" t="s">
        <v>127</v>
      </c>
      <c r="D19" s="145">
        <f>B19*1000000000000</f>
        <v>36.456224823880845</v>
      </c>
      <c r="E19" s="145" t="s">
        <v>128</v>
      </c>
      <c r="F19" s="146"/>
      <c r="G19" s="149"/>
      <c r="H19" s="129" t="s">
        <v>129</v>
      </c>
    </row>
    <row r="20" spans="1:18" ht="12.75" customHeight="1" x14ac:dyDescent="0.25">
      <c r="A20" s="137" t="s">
        <v>130</v>
      </c>
      <c r="B20" s="150">
        <f>B18/(2*(B13+B15))</f>
        <v>367.38235999128841</v>
      </c>
      <c r="C20" s="146"/>
      <c r="D20" s="146"/>
      <c r="E20" s="146"/>
      <c r="F20" s="146"/>
      <c r="G20" s="149"/>
    </row>
    <row r="21" spans="1:18" ht="12.75" customHeight="1" x14ac:dyDescent="0.25">
      <c r="A21" s="137" t="s">
        <v>131</v>
      </c>
      <c r="B21" s="155">
        <f>B18/(2*(B13))</f>
        <v>1135.0418477782591</v>
      </c>
      <c r="C21" s="146"/>
      <c r="D21" s="146"/>
      <c r="E21" s="146"/>
      <c r="F21" s="146"/>
      <c r="G21" s="149"/>
    </row>
    <row r="22" spans="1:18" ht="12.75" customHeight="1" x14ac:dyDescent="0.25">
      <c r="A22" s="137" t="s">
        <v>132</v>
      </c>
      <c r="B22" s="150">
        <f>D8/B20</f>
        <v>49267.471634809022</v>
      </c>
      <c r="C22" s="146" t="s">
        <v>114</v>
      </c>
      <c r="D22" s="145">
        <f>B22/1000</f>
        <v>49.26747163480902</v>
      </c>
      <c r="E22" s="145" t="s">
        <v>66</v>
      </c>
      <c r="F22" s="146"/>
      <c r="G22" s="149"/>
    </row>
    <row r="23" spans="1:18" ht="12.75" customHeight="1" x14ac:dyDescent="0.25">
      <c r="A23" s="137" t="s">
        <v>133</v>
      </c>
      <c r="B23" s="160">
        <f>8.92*D11/(2*B3)</f>
        <v>3.5684460000000002</v>
      </c>
      <c r="C23" s="157" t="s">
        <v>128</v>
      </c>
      <c r="D23" s="146"/>
      <c r="E23" s="146"/>
      <c r="F23" s="146"/>
      <c r="G23" s="149"/>
      <c r="H23" s="129" t="s">
        <v>134</v>
      </c>
    </row>
    <row r="24" spans="1:18" ht="12.75" customHeight="1" x14ac:dyDescent="0.25">
      <c r="A24" s="137" t="s">
        <v>135</v>
      </c>
      <c r="B24" s="161">
        <f>SQRT(B7*B18*B20)</f>
        <v>2976.7617823174555</v>
      </c>
      <c r="C24" s="145" t="s">
        <v>136</v>
      </c>
      <c r="D24" s="146"/>
      <c r="E24" s="146"/>
      <c r="F24" s="146"/>
      <c r="G24" s="149"/>
    </row>
    <row r="25" spans="1:18" ht="12.75" customHeight="1" x14ac:dyDescent="0.25">
      <c r="A25" s="137" t="s">
        <v>137</v>
      </c>
      <c r="B25" s="162">
        <f>B24/75000</f>
        <v>3.9690157097566077E-2</v>
      </c>
      <c r="C25" s="147" t="s">
        <v>138</v>
      </c>
      <c r="D25" s="145">
        <f>B25*1000</f>
        <v>39.690157097566079</v>
      </c>
      <c r="E25" s="145" t="s">
        <v>139</v>
      </c>
      <c r="F25" s="145">
        <f>25.4*B25</f>
        <v>1.0081299902781784</v>
      </c>
      <c r="G25" s="163" t="s">
        <v>17</v>
      </c>
    </row>
    <row r="26" spans="1:18" ht="12.75" customHeight="1" x14ac:dyDescent="0.25">
      <c r="A26" s="137" t="s">
        <v>140</v>
      </c>
      <c r="B26" s="150">
        <f>D26*3.28083</f>
        <v>54.340876695580114</v>
      </c>
      <c r="C26" s="146" t="s">
        <v>117</v>
      </c>
      <c r="D26" s="145">
        <f>299793000/D8</f>
        <v>16.56314917127072</v>
      </c>
      <c r="E26" s="145" t="s">
        <v>14</v>
      </c>
      <c r="F26" s="146"/>
      <c r="G26" s="149"/>
    </row>
    <row r="27" spans="1:18" ht="12.75" customHeight="1" x14ac:dyDescent="0.25">
      <c r="A27" s="137" t="s">
        <v>141</v>
      </c>
      <c r="B27" s="160">
        <f>(D11/D26)*100</f>
        <v>15.175787262105253</v>
      </c>
      <c r="C27" s="154" t="s">
        <v>29</v>
      </c>
      <c r="D27" s="146"/>
      <c r="E27" s="146"/>
      <c r="F27" s="146"/>
      <c r="G27" s="149"/>
    </row>
    <row r="28" spans="1:18" ht="12.75" customHeight="1" x14ac:dyDescent="0.25">
      <c r="A28" s="164"/>
      <c r="B28" s="157"/>
      <c r="C28" s="157"/>
      <c r="D28" s="156"/>
      <c r="E28" s="156"/>
      <c r="F28" s="156"/>
      <c r="G28" s="156"/>
    </row>
    <row r="29" spans="1:18" ht="12.75" customHeight="1" x14ac:dyDescent="0.25">
      <c r="A29" s="97"/>
    </row>
    <row r="30" spans="1:18" ht="12.75" customHeight="1" x14ac:dyDescent="0.25">
      <c r="A30" s="165"/>
      <c r="B30" s="166" t="s">
        <v>142</v>
      </c>
      <c r="C30" s="167" t="s">
        <v>143</v>
      </c>
      <c r="D30" s="167" t="s">
        <v>144</v>
      </c>
      <c r="E30" s="168"/>
      <c r="F30" s="167" t="s">
        <v>145</v>
      </c>
      <c r="G30" s="168" t="s">
        <v>146</v>
      </c>
      <c r="H30" s="167" t="s">
        <v>147</v>
      </c>
      <c r="I30" s="168"/>
      <c r="J30" s="169" t="s">
        <v>148</v>
      </c>
      <c r="K30" s="167" t="s">
        <v>149</v>
      </c>
      <c r="L30" s="167"/>
      <c r="M30" s="167"/>
      <c r="N30" s="170"/>
      <c r="O30" s="171"/>
      <c r="P30" s="172"/>
    </row>
    <row r="31" spans="1:18" ht="12.75" customHeight="1" x14ac:dyDescent="0.25">
      <c r="A31" s="173" t="s">
        <v>150</v>
      </c>
      <c r="B31" s="174" t="s">
        <v>151</v>
      </c>
      <c r="C31" s="174" t="s">
        <v>151</v>
      </c>
      <c r="D31" s="174" t="s">
        <v>151</v>
      </c>
      <c r="E31" s="175" t="s">
        <v>152</v>
      </c>
      <c r="F31" s="174" t="s">
        <v>153</v>
      </c>
      <c r="G31" s="175" t="s">
        <v>148</v>
      </c>
      <c r="H31" s="174" t="s">
        <v>154</v>
      </c>
      <c r="I31" s="175" t="s">
        <v>155</v>
      </c>
      <c r="J31" s="176" t="s">
        <v>156</v>
      </c>
      <c r="K31" s="174" t="s">
        <v>157</v>
      </c>
      <c r="L31" s="174" t="s">
        <v>158</v>
      </c>
      <c r="M31" s="174" t="s">
        <v>159</v>
      </c>
      <c r="N31" s="177" t="s">
        <v>160</v>
      </c>
      <c r="O31" s="178" t="s">
        <v>152</v>
      </c>
      <c r="P31" s="179" t="s">
        <v>161</v>
      </c>
      <c r="R31" s="129"/>
    </row>
    <row r="32" spans="1:18" ht="12.75" customHeight="1" x14ac:dyDescent="0.25">
      <c r="A32" s="180" t="s">
        <v>127</v>
      </c>
      <c r="B32" s="181" t="s">
        <v>162</v>
      </c>
      <c r="C32" s="181" t="s">
        <v>163</v>
      </c>
      <c r="D32" s="182" t="s">
        <v>164</v>
      </c>
      <c r="E32" s="183" t="s">
        <v>165</v>
      </c>
      <c r="F32" s="181" t="s">
        <v>166</v>
      </c>
      <c r="G32" s="184" t="s">
        <v>167</v>
      </c>
      <c r="H32" s="185" t="s">
        <v>168</v>
      </c>
      <c r="I32" s="186" t="s">
        <v>169</v>
      </c>
      <c r="J32" s="187" t="s">
        <v>170</v>
      </c>
      <c r="K32" s="181" t="s">
        <v>171</v>
      </c>
      <c r="L32" s="185" t="s">
        <v>172</v>
      </c>
      <c r="M32" s="188" t="s">
        <v>40</v>
      </c>
      <c r="N32" s="177" t="s">
        <v>173</v>
      </c>
      <c r="O32" s="189" t="s">
        <v>165</v>
      </c>
      <c r="P32" s="190"/>
    </row>
    <row r="33" spans="1:16" ht="12.75" customHeight="1" x14ac:dyDescent="0.25">
      <c r="A33" s="191" t="s">
        <v>10</v>
      </c>
      <c r="B33" s="192" t="s">
        <v>35</v>
      </c>
      <c r="C33" s="192" t="s">
        <v>35</v>
      </c>
      <c r="D33" s="192" t="s">
        <v>35</v>
      </c>
      <c r="E33" s="193" t="s">
        <v>30</v>
      </c>
      <c r="F33" s="192" t="s">
        <v>111</v>
      </c>
      <c r="G33" s="193" t="s">
        <v>128</v>
      </c>
      <c r="H33" s="192"/>
      <c r="I33" s="193" t="s">
        <v>66</v>
      </c>
      <c r="J33" s="194" t="s">
        <v>136</v>
      </c>
      <c r="K33" s="192" t="s">
        <v>139</v>
      </c>
      <c r="L33" s="192" t="s">
        <v>14</v>
      </c>
      <c r="M33" s="195"/>
      <c r="N33" s="196"/>
      <c r="O33" s="197" t="s">
        <v>174</v>
      </c>
      <c r="P33" s="198" t="s">
        <v>175</v>
      </c>
    </row>
    <row r="34" spans="1:16" ht="12.75" customHeight="1" x14ac:dyDescent="0.25">
      <c r="A34" s="199">
        <v>1</v>
      </c>
      <c r="B34" s="200">
        <f>((0.0000000338)*(((A34*A34)*B12)*((A34*A34)*B12)))*1000</f>
        <v>9.8995098927696468E-4</v>
      </c>
      <c r="C34" s="200">
        <f>((0.000996)*SQRT(A34)*(B11/B5))*1000/(Main!C18/100)</f>
        <v>33.380180004513093</v>
      </c>
      <c r="D34" s="200">
        <f>C34+B6</f>
        <v>113.38018000451309</v>
      </c>
      <c r="E34" s="201">
        <f t="shared" ref="E34:E63" si="0">10*LOG(B34/(B34+D34))</f>
        <v>-50.589272400899745</v>
      </c>
      <c r="F34" s="200">
        <f>2*B3*A34*B17*1000000</f>
        <v>13.325738545590625</v>
      </c>
      <c r="G34" s="201">
        <f>(1/(2*B3*A34*F34*1000000))*1000000000000</f>
        <v>11943.423814551605</v>
      </c>
      <c r="H34" s="200">
        <f t="shared" ref="H34:H63" si="1">F34/((2*(B34+D34))/1000)</f>
        <v>58.765218910778792</v>
      </c>
      <c r="I34" s="201">
        <f t="shared" ref="I34:I63" si="2">(A34/H34)*1000</f>
        <v>17.016868456123095</v>
      </c>
      <c r="J34" s="200">
        <f>SQRT(B7*F34*H34)</f>
        <v>279.83744259470285</v>
      </c>
      <c r="K34" s="200">
        <f t="shared" ref="K34:K63" si="3">1000*(J34/75000)</f>
        <v>3.7311659012627043</v>
      </c>
      <c r="L34" s="200">
        <f t="shared" ref="L34:L63" si="4">299.793/A34</f>
        <v>299.79300000000001</v>
      </c>
      <c r="M34" s="200">
        <f>(D11/L34*100)</f>
        <v>0.83844128519918526</v>
      </c>
      <c r="N34" s="202">
        <f t="shared" ref="N34:N63" si="5">F34/((2*(B34))/1000)</f>
        <v>6730504.1814865032</v>
      </c>
      <c r="O34" s="203">
        <f t="shared" ref="O34:O63" si="6">H34/N34</f>
        <v>8.7311763467027332E-6</v>
      </c>
      <c r="P34" s="199">
        <f t="shared" ref="P34:P63" si="7">-20*LOG10(2*$F$4/L34)</f>
        <v>35.509946986562262</v>
      </c>
    </row>
    <row r="35" spans="1:16" ht="12.75" customHeight="1" x14ac:dyDescent="0.25">
      <c r="A35" s="199">
        <v>2</v>
      </c>
      <c r="B35" s="200">
        <f>((0.0000000338)*(((A35*A35)*B12)*((A35*A35)*B12)))*1000</f>
        <v>1.5839215828431435E-2</v>
      </c>
      <c r="C35" s="200">
        <f>((0.000996)*SQRT(A35)*(B11/B5))*1000/(Main!C18/100)</f>
        <v>47.206703276837615</v>
      </c>
      <c r="D35" s="200">
        <f>C35+B6</f>
        <v>127.20670327683762</v>
      </c>
      <c r="E35" s="201">
        <f t="shared" si="0"/>
        <v>-39.048303938984795</v>
      </c>
      <c r="F35" s="200">
        <f>2*B3*A35*B17*1000000</f>
        <v>26.651477091181249</v>
      </c>
      <c r="G35" s="201">
        <f>(1/(2*B3*A35*F35*1000000))*1000000000000</f>
        <v>2985.8559536379012</v>
      </c>
      <c r="H35" s="200">
        <f t="shared" si="1"/>
        <v>104.74353274584816</v>
      </c>
      <c r="I35" s="201">
        <f t="shared" si="2"/>
        <v>19.094257636438908</v>
      </c>
      <c r="J35" s="200">
        <f>SQRT(B7*F35*H35)</f>
        <v>528.35308870350752</v>
      </c>
      <c r="K35" s="200">
        <f t="shared" si="3"/>
        <v>7.0447078493801003</v>
      </c>
      <c r="L35" s="200">
        <f t="shared" si="4"/>
        <v>149.8965</v>
      </c>
      <c r="M35" s="200">
        <f>(D11/L35)*100</f>
        <v>1.6768825703983705</v>
      </c>
      <c r="N35" s="202">
        <f t="shared" si="5"/>
        <v>841313.0226858129</v>
      </c>
      <c r="O35" s="203">
        <f t="shared" si="6"/>
        <v>1.2450007300667266E-4</v>
      </c>
      <c r="P35" s="199">
        <f t="shared" si="7"/>
        <v>29.489347073282637</v>
      </c>
    </row>
    <row r="36" spans="1:16" ht="12.75" customHeight="1" x14ac:dyDescent="0.25">
      <c r="A36" s="199">
        <v>3</v>
      </c>
      <c r="B36" s="200">
        <f>((0.0000000338)*(((A36*A36)*B12)*((A36*A36)*B12)))*1000</f>
        <v>8.0186030131434147E-2</v>
      </c>
      <c r="C36" s="200">
        <f>((0.000996)*SQRT(A36)*(B11/B5))*1000/(Main!C18/100)</f>
        <v>57.816167733611387</v>
      </c>
      <c r="D36" s="200">
        <f>C36+B6</f>
        <v>137.81616773361139</v>
      </c>
      <c r="E36" s="201">
        <f t="shared" si="0"/>
        <v>-32.354540699166755</v>
      </c>
      <c r="F36" s="200">
        <f>2*B3*A36*B17*1000000</f>
        <v>39.977215636771874</v>
      </c>
      <c r="G36" s="201">
        <f>(1/(2*B3*A36*F36*1000000))*1000000000000</f>
        <v>1327.0470905057339</v>
      </c>
      <c r="H36" s="200">
        <f t="shared" si="1"/>
        <v>144.95385318622942</v>
      </c>
      <c r="I36" s="201">
        <f t="shared" si="2"/>
        <v>20.696241831845278</v>
      </c>
      <c r="J36" s="200">
        <f>SQRT(B7*F36*H36)</f>
        <v>761.23921642325195</v>
      </c>
      <c r="K36" s="200">
        <f t="shared" si="3"/>
        <v>10.149856218976693</v>
      </c>
      <c r="L36" s="200">
        <f t="shared" si="4"/>
        <v>99.930999999999997</v>
      </c>
      <c r="M36" s="200">
        <f>(D11/L36)*100</f>
        <v>2.5153238555975559</v>
      </c>
      <c r="N36" s="202">
        <f t="shared" si="5"/>
        <v>249277.93264764827</v>
      </c>
      <c r="O36" s="203">
        <f t="shared" si="6"/>
        <v>5.8149492675358544E-4</v>
      </c>
      <c r="P36" s="199">
        <f t="shared" si="7"/>
        <v>25.96752189216901</v>
      </c>
    </row>
    <row r="37" spans="1:16" s="208" customFormat="1" ht="12.75" customHeight="1" x14ac:dyDescent="0.25">
      <c r="A37" s="204">
        <v>4</v>
      </c>
      <c r="B37" s="205">
        <f>((0.0000000338)*(((A37*A37)*B12)*((A37*A37)*B12)))*1000</f>
        <v>0.25342745325490296</v>
      </c>
      <c r="C37" s="205">
        <f>((0.000996)*SQRT(A37)*(B11/B5))*1000/(Main!C18/100)</f>
        <v>66.760360009026186</v>
      </c>
      <c r="D37" s="205">
        <f>C37+B6</f>
        <v>146.76036000902619</v>
      </c>
      <c r="E37" s="205">
        <f t="shared" si="0"/>
        <v>-27.635044070094477</v>
      </c>
      <c r="F37" s="205">
        <f>2*B3*A37*B17*1000000</f>
        <v>53.302954182362498</v>
      </c>
      <c r="G37" s="205">
        <f>(1/(2*B3*A37*F37*1000000))*1000000000000</f>
        <v>746.46398840947529</v>
      </c>
      <c r="H37" s="205">
        <f t="shared" si="1"/>
        <v>181.28556206348429</v>
      </c>
      <c r="I37" s="205">
        <f t="shared" si="2"/>
        <v>22.064636336561886</v>
      </c>
      <c r="J37" s="205">
        <f>SQRT(B7*F37*H37)</f>
        <v>983.00844394103433</v>
      </c>
      <c r="K37" s="205">
        <f t="shared" si="3"/>
        <v>13.106779252547124</v>
      </c>
      <c r="L37" s="205">
        <f t="shared" si="4"/>
        <v>74.948250000000002</v>
      </c>
      <c r="M37" s="205">
        <f>(D11/L37)*100</f>
        <v>3.353765140796741</v>
      </c>
      <c r="N37" s="206">
        <f t="shared" si="5"/>
        <v>105164.12783572661</v>
      </c>
      <c r="O37" s="207">
        <f t="shared" si="6"/>
        <v>1.7238345983020412E-3</v>
      </c>
      <c r="P37" s="199">
        <f t="shared" si="7"/>
        <v>23.468747160003012</v>
      </c>
    </row>
    <row r="38" spans="1:16" s="19" customFormat="1" ht="12.75" customHeight="1" x14ac:dyDescent="0.25">
      <c r="A38" s="209">
        <v>5</v>
      </c>
      <c r="B38" s="210">
        <f>((0.0000000338)*(((A38*A38)*B12)*((A38*A38)*B12)))*1000</f>
        <v>0.61871936829810292</v>
      </c>
      <c r="C38" s="210">
        <f>((0.000996)*SQRT(A38)*(B11/B5))*1000/(Main!C18/100)</f>
        <v>74.640351591270516</v>
      </c>
      <c r="D38" s="210">
        <f>C38+B6</f>
        <v>154.64035159127053</v>
      </c>
      <c r="E38" s="210">
        <f t="shared" si="0"/>
        <v>-23.995632717785131</v>
      </c>
      <c r="F38" s="210">
        <f>2*B3*A38*B17*1000000</f>
        <v>66.628692727953123</v>
      </c>
      <c r="G38" s="210">
        <f>(1/(2*B3*A38*F38*1000000))*1000000000000</f>
        <v>477.73695258206413</v>
      </c>
      <c r="H38" s="210">
        <f t="shared" si="1"/>
        <v>214.57262469805724</v>
      </c>
      <c r="I38" s="210">
        <f t="shared" si="2"/>
        <v>23.30213375091958</v>
      </c>
      <c r="J38" s="210">
        <f>SQRT(B7*F38*H38)</f>
        <v>1195.6878137221797</v>
      </c>
      <c r="K38" s="210">
        <f t="shared" si="3"/>
        <v>15.942504182962395</v>
      </c>
      <c r="L38" s="210">
        <f t="shared" si="4"/>
        <v>59.958600000000004</v>
      </c>
      <c r="M38" s="210">
        <f>(D11/L38)*100</f>
        <v>4.1922064259959262</v>
      </c>
      <c r="N38" s="211">
        <f t="shared" si="5"/>
        <v>53844.033451892028</v>
      </c>
      <c r="O38" s="212">
        <f t="shared" si="6"/>
        <v>3.9850771003210822E-3</v>
      </c>
      <c r="P38" s="199">
        <f t="shared" si="7"/>
        <v>21.530546899841884</v>
      </c>
    </row>
    <row r="39" spans="1:16" ht="12.75" customHeight="1" x14ac:dyDescent="0.25">
      <c r="A39" s="199">
        <v>6</v>
      </c>
      <c r="B39" s="200">
        <f>((0.0000000338)*(((A39*A39)*B12)*((A39*A39)*B12)))*1000</f>
        <v>1.2829764821029463</v>
      </c>
      <c r="C39" s="200">
        <f>((0.000996)*SQRT(A39)*(B11/B5))*1000/(Main!C18/100)</f>
        <v>81.764408533310956</v>
      </c>
      <c r="D39" s="200">
        <f>C39+B6</f>
        <v>161.76440853331096</v>
      </c>
      <c r="E39" s="201">
        <f t="shared" si="0"/>
        <v>-21.040951423888814</v>
      </c>
      <c r="F39" s="200">
        <f>2*B3*A39*B17*1000000</f>
        <v>79.954431273543747</v>
      </c>
      <c r="G39" s="201">
        <f>(1/(2*B3*A39*F39*1000000))*1000000000000</f>
        <v>331.76177262643347</v>
      </c>
      <c r="H39" s="200">
        <f t="shared" si="1"/>
        <v>245.18771419113881</v>
      </c>
      <c r="I39" s="201">
        <f t="shared" si="2"/>
        <v>24.471046682716871</v>
      </c>
      <c r="J39" s="200">
        <f>SQRT(B7*F39*H39)</f>
        <v>1400.1372876762011</v>
      </c>
      <c r="K39" s="200">
        <f t="shared" si="3"/>
        <v>18.668497169016014</v>
      </c>
      <c r="L39" s="200">
        <f t="shared" si="4"/>
        <v>49.965499999999999</v>
      </c>
      <c r="M39" s="200">
        <f>(D11/L39)*100</f>
        <v>5.0306477111951118</v>
      </c>
      <c r="N39" s="202">
        <f t="shared" si="5"/>
        <v>31159.741580956033</v>
      </c>
      <c r="O39" s="203">
        <f t="shared" si="6"/>
        <v>7.8687338774654902E-3</v>
      </c>
      <c r="P39" s="199">
        <f t="shared" si="7"/>
        <v>19.946921978889389</v>
      </c>
    </row>
    <row r="40" spans="1:16" s="208" customFormat="1" ht="12.75" customHeight="1" x14ac:dyDescent="0.25">
      <c r="A40" s="204">
        <v>7</v>
      </c>
      <c r="B40" s="205">
        <f>((0.0000000338)*(((A40*A40)*B12)*((A40*A40)*B12)))*1000</f>
        <v>2.3768723252539927</v>
      </c>
      <c r="C40" s="205">
        <f>((0.000996)*SQRT(A40)*(B11/B5))*1000/(Main!C18/100)</f>
        <v>88.315655010512543</v>
      </c>
      <c r="D40" s="205">
        <f>C40+B6</f>
        <v>168.31565501051256</v>
      </c>
      <c r="E40" s="201">
        <f t="shared" si="0"/>
        <v>-18.562086547313662</v>
      </c>
      <c r="F40" s="205">
        <f>2*B3*A40*B17*1000000</f>
        <v>93.280169819134372</v>
      </c>
      <c r="G40" s="205">
        <f>(1/(2*B3*A40*F40*1000000))*1000000000000</f>
        <v>243.7433431541144</v>
      </c>
      <c r="H40" s="205">
        <f t="shared" si="1"/>
        <v>273.2403441295483</v>
      </c>
      <c r="I40" s="205">
        <f t="shared" si="2"/>
        <v>25.618471614430298</v>
      </c>
      <c r="J40" s="205">
        <f>SQRT(B7*F40*H40)</f>
        <v>1596.4932101904781</v>
      </c>
      <c r="K40" s="205">
        <f t="shared" si="3"/>
        <v>21.286576135873041</v>
      </c>
      <c r="L40" s="205">
        <f t="shared" si="4"/>
        <v>42.827571428571432</v>
      </c>
      <c r="M40" s="205">
        <f>(D11/L40)*100</f>
        <v>5.8690889963942965</v>
      </c>
      <c r="N40" s="206">
        <f t="shared" si="5"/>
        <v>19622.461170514584</v>
      </c>
      <c r="O40" s="207">
        <f t="shared" si="6"/>
        <v>1.3924876281071667E-2</v>
      </c>
      <c r="P40" s="199">
        <f t="shared" si="7"/>
        <v>18.607986186277124</v>
      </c>
    </row>
    <row r="41" spans="1:16" ht="12.75" customHeight="1" x14ac:dyDescent="0.25">
      <c r="A41" s="199">
        <v>8</v>
      </c>
      <c r="B41" s="200">
        <f>((0.0000000338)*(((A41*A41)*B12)*((A41*A41)*B12)))*1000</f>
        <v>4.0548392520784473</v>
      </c>
      <c r="C41" s="200">
        <f>((0.000996)*SQRT(A41)*(B11/B5))*1000/(Main!C18/100)</f>
        <v>94.41340655367523</v>
      </c>
      <c r="D41" s="200">
        <f>C41+B6</f>
        <v>174.41340655367523</v>
      </c>
      <c r="E41" s="201">
        <f t="shared" si="0"/>
        <v>-16.435873129668103</v>
      </c>
      <c r="F41" s="200">
        <f>2*B3*A41*B17*1000000</f>
        <v>106.605908364725</v>
      </c>
      <c r="G41" s="201">
        <f>(1/(2*B3*A41*F41*1000000))*1000000000000</f>
        <v>186.61599710236882</v>
      </c>
      <c r="H41" s="200">
        <f t="shared" si="1"/>
        <v>298.66912145468098</v>
      </c>
      <c r="I41" s="201">
        <f t="shared" si="2"/>
        <v>26.785494131551502</v>
      </c>
      <c r="J41" s="200">
        <f>SQRT(B7*F41*H41)</f>
        <v>1784.3736434158245</v>
      </c>
      <c r="K41" s="200">
        <f t="shared" si="3"/>
        <v>23.791648578877659</v>
      </c>
      <c r="L41" s="200">
        <f t="shared" si="4"/>
        <v>37.474125000000001</v>
      </c>
      <c r="M41" s="200">
        <f>(D11/L41)*100</f>
        <v>6.7075302815934821</v>
      </c>
      <c r="N41" s="202">
        <f t="shared" si="5"/>
        <v>13145.515979465827</v>
      </c>
      <c r="O41" s="203">
        <f t="shared" si="6"/>
        <v>2.2720228093079199E-2</v>
      </c>
      <c r="P41" s="199">
        <f t="shared" si="7"/>
        <v>17.448147246723387</v>
      </c>
    </row>
    <row r="42" spans="1:16" ht="12.75" customHeight="1" x14ac:dyDescent="0.25">
      <c r="A42" s="199">
        <v>9</v>
      </c>
      <c r="B42" s="200">
        <f>((0.0000000338)*(((A42*A42)*B12)*((A42*A42)*B12)))*1000</f>
        <v>6.4950684406461647</v>
      </c>
      <c r="C42" s="200">
        <f>((0.000996)*SQRT(A42)*(B11/B5))*1000/(Main!C18/100)</f>
        <v>100.14054001353928</v>
      </c>
      <c r="D42" s="200">
        <f>C42+B6</f>
        <v>180.14054001353929</v>
      </c>
      <c r="E42" s="201">
        <f t="shared" si="0"/>
        <v>-14.584107751984142</v>
      </c>
      <c r="F42" s="200">
        <f>2*B3*A42*B17*1000000</f>
        <v>119.93164691031561</v>
      </c>
      <c r="G42" s="201">
        <f>(1/(2*B3*A42*F42*1000000))*1000000000000</f>
        <v>147.44967672285935</v>
      </c>
      <c r="H42" s="200">
        <f t="shared" si="1"/>
        <v>321.29894156761605</v>
      </c>
      <c r="I42" s="201">
        <f t="shared" si="2"/>
        <v>28.011296757122949</v>
      </c>
      <c r="J42" s="200">
        <f>SQRT(B7*F42*H42)</f>
        <v>1963.005634549872</v>
      </c>
      <c r="K42" s="200">
        <f t="shared" si="3"/>
        <v>26.173408460664959</v>
      </c>
      <c r="L42" s="200">
        <f t="shared" si="4"/>
        <v>33.310333333333332</v>
      </c>
      <c r="M42" s="200">
        <f>(D11/L42)*100</f>
        <v>7.5459715667926686</v>
      </c>
      <c r="N42" s="202">
        <f t="shared" si="5"/>
        <v>9232.5160239869729</v>
      </c>
      <c r="O42" s="203">
        <f t="shared" si="6"/>
        <v>3.4800799774714737E-2</v>
      </c>
      <c r="P42" s="199">
        <f t="shared" si="7"/>
        <v>16.425096797775762</v>
      </c>
    </row>
    <row r="43" spans="1:16" s="208" customFormat="1" ht="12.75" customHeight="1" x14ac:dyDescent="0.25">
      <c r="A43" s="204">
        <v>10</v>
      </c>
      <c r="B43" s="205">
        <f>((0.0000000338)*(((A43*A43)*B12)*((A43*A43)*B12)))*1000</f>
        <v>9.8995098927696468</v>
      </c>
      <c r="C43" s="205">
        <f>((0.000996)*SQRT(A43)*(B11/B5))*1000/(Main!C18/100)</f>
        <v>105.55739752067099</v>
      </c>
      <c r="D43" s="205">
        <f>C43+B6</f>
        <v>185.55739752067097</v>
      </c>
      <c r="E43" s="205">
        <f t="shared" si="0"/>
        <v>-12.954373289537513</v>
      </c>
      <c r="F43" s="205">
        <f>2*B3*A43*B17*1000000</f>
        <v>133.25738545590625</v>
      </c>
      <c r="G43" s="205">
        <f>(1/(2*B3*A43*F43*1000000))*1000000000000</f>
        <v>119.43423814551603</v>
      </c>
      <c r="H43" s="205">
        <f t="shared" si="1"/>
        <v>340.88686662281339</v>
      </c>
      <c r="I43" s="205">
        <f t="shared" si="2"/>
        <v>29.335245734371053</v>
      </c>
      <c r="J43" s="205">
        <f>SQRT(B7*F43*H43)</f>
        <v>2131.3303963114763</v>
      </c>
      <c r="K43" s="205">
        <f t="shared" si="3"/>
        <v>28.41773861748635</v>
      </c>
      <c r="L43" s="205">
        <f t="shared" si="4"/>
        <v>29.979300000000002</v>
      </c>
      <c r="M43" s="205">
        <f>(D11/L43)*100</f>
        <v>8.3844128519918524</v>
      </c>
      <c r="N43" s="206">
        <f t="shared" si="5"/>
        <v>6730.5041814865035</v>
      </c>
      <c r="O43" s="207">
        <f t="shared" si="6"/>
        <v>5.0648043212050256E-2</v>
      </c>
      <c r="P43" s="199">
        <f t="shared" si="7"/>
        <v>15.509946986562262</v>
      </c>
    </row>
    <row r="44" spans="1:16" ht="12.75" customHeight="1" x14ac:dyDescent="0.25">
      <c r="A44" s="199">
        <v>11</v>
      </c>
      <c r="B44" s="200">
        <f>((0.0000000338)*(((A44*A44)*B12)*((A44*A44)*B12)))*1000</f>
        <v>14.493872434004039</v>
      </c>
      <c r="C44" s="200">
        <f>((0.000996)*SQRT(A44)*(B11/B5))*1000/(Main!C18/100)</f>
        <v>110.70953250949374</v>
      </c>
      <c r="D44" s="200">
        <f>C44+B6</f>
        <v>190.70953250949373</v>
      </c>
      <c r="E44" s="201">
        <f t="shared" si="0"/>
        <v>-11.510001281442987</v>
      </c>
      <c r="F44" s="200">
        <f>2*B3*A44*B17*1000000</f>
        <v>146.58312400149686</v>
      </c>
      <c r="G44" s="201">
        <f>(1/(2*B3*A44*F44*1000000))*1000000000000</f>
        <v>98.705981938443045</v>
      </c>
      <c r="H44" s="200">
        <f t="shared" si="1"/>
        <v>357.1654282292688</v>
      </c>
      <c r="I44" s="201">
        <f t="shared" si="2"/>
        <v>30.798053592518947</v>
      </c>
      <c r="J44" s="200">
        <f>SQRT(B7*F44*H44)</f>
        <v>2288.108919067854</v>
      </c>
      <c r="K44" s="200">
        <f t="shared" si="3"/>
        <v>30.508118920904721</v>
      </c>
      <c r="L44" s="200">
        <f t="shared" si="4"/>
        <v>27.25390909090909</v>
      </c>
      <c r="M44" s="200">
        <f>(D11/L44)*100</f>
        <v>9.2228541371910389</v>
      </c>
      <c r="N44" s="202">
        <f t="shared" si="5"/>
        <v>5056.7274090807696</v>
      </c>
      <c r="O44" s="203">
        <f t="shared" si="6"/>
        <v>7.0631734585470896E-2</v>
      </c>
      <c r="P44" s="199">
        <f t="shared" si="7"/>
        <v>14.682093283397762</v>
      </c>
    </row>
    <row r="45" spans="1:16" ht="12.75" customHeight="1" x14ac:dyDescent="0.25">
      <c r="A45" s="199">
        <v>12</v>
      </c>
      <c r="B45" s="200">
        <f>((0.0000000338)*(((A45*A45)*B12)*((A45*A45)*B12)))*1000</f>
        <v>20.527623713647142</v>
      </c>
      <c r="C45" s="200">
        <f>((0.000996)*SQRT(A45)*(B11/B5))*1000/(Main!C18/100)</f>
        <v>115.63233546722277</v>
      </c>
      <c r="D45" s="200">
        <f>C45+B6</f>
        <v>195.63233546722279</v>
      </c>
      <c r="E45" s="201">
        <f t="shared" si="0"/>
        <v>-10.224365714984314</v>
      </c>
      <c r="F45" s="200">
        <f>2*B3*A45*B17*1000000</f>
        <v>159.90886254708749</v>
      </c>
      <c r="G45" s="201">
        <f>(1/(2*B3*A45*F45*1000000))*1000000000000</f>
        <v>82.940443156608367</v>
      </c>
      <c r="H45" s="200">
        <f t="shared" si="1"/>
        <v>369.88548469627807</v>
      </c>
      <c r="I45" s="201">
        <f t="shared" si="2"/>
        <v>32.442473404582209</v>
      </c>
      <c r="J45" s="200">
        <f>SQRT(B7*F45*H45)</f>
        <v>2432.035508179516</v>
      </c>
      <c r="K45" s="200">
        <f t="shared" si="3"/>
        <v>32.427140109060211</v>
      </c>
      <c r="L45" s="200">
        <f t="shared" si="4"/>
        <v>24.982749999999999</v>
      </c>
      <c r="M45" s="200">
        <f>(D11/L45)*100</f>
        <v>10.061295422390224</v>
      </c>
      <c r="N45" s="202">
        <f t="shared" si="5"/>
        <v>3894.9676976195042</v>
      </c>
      <c r="O45" s="203">
        <f t="shared" si="6"/>
        <v>9.4964968495718657E-2</v>
      </c>
      <c r="P45" s="199">
        <f t="shared" si="7"/>
        <v>13.926322065609764</v>
      </c>
    </row>
    <row r="46" spans="1:16" ht="12.75" customHeight="1" x14ac:dyDescent="0.25">
      <c r="A46" s="199">
        <v>13</v>
      </c>
      <c r="B46" s="200">
        <f>((0.0000000338)*(((A46*A46)*B12)*((A46*A46)*B12)))*1000</f>
        <v>28.273990204739391</v>
      </c>
      <c r="C46" s="200">
        <f>((0.000996)*SQRT(A46)*(B11/B5))*1000/(Main!C18/100)</f>
        <v>120.35395059048973</v>
      </c>
      <c r="D46" s="200">
        <f>C46+B6</f>
        <v>200.35395059048972</v>
      </c>
      <c r="E46" s="201">
        <f t="shared" si="0"/>
        <v>-9.0774220155774472</v>
      </c>
      <c r="F46" s="200">
        <f>2*B3*A46*B17*1000000</f>
        <v>173.23460109267813</v>
      </c>
      <c r="G46" s="201">
        <f>(1/(2*B3*A46*F46*1000000))*1000000000000</f>
        <v>70.671146831666306</v>
      </c>
      <c r="H46" s="200">
        <f t="shared" si="1"/>
        <v>378.85702090943448</v>
      </c>
      <c r="I46" s="201">
        <f t="shared" si="2"/>
        <v>34.313736535207674</v>
      </c>
      <c r="J46" s="200">
        <f>SQRT(B7*F46*H46)</f>
        <v>2561.8576246233183</v>
      </c>
      <c r="K46" s="200">
        <f t="shared" si="3"/>
        <v>34.158101661644245</v>
      </c>
      <c r="L46" s="200">
        <f t="shared" si="4"/>
        <v>23.061</v>
      </c>
      <c r="M46" s="200">
        <f>(D11/L46)*100</f>
        <v>10.899736707589408</v>
      </c>
      <c r="N46" s="202">
        <f t="shared" si="5"/>
        <v>3063.4975791927645</v>
      </c>
      <c r="O46" s="203">
        <f t="shared" si="6"/>
        <v>0.12366813131586145</v>
      </c>
      <c r="P46" s="199">
        <f t="shared" si="7"/>
        <v>13.231079940425525</v>
      </c>
    </row>
    <row r="47" spans="1:16" s="208" customFormat="1" ht="12.75" customHeight="1" x14ac:dyDescent="0.25">
      <c r="A47" s="204">
        <v>14</v>
      </c>
      <c r="B47" s="205">
        <f>((0.0000000338)*(((A47*A47)*B12)*((A47*A47)*B12)))*1000</f>
        <v>38.029957204063884</v>
      </c>
      <c r="C47" s="205">
        <f>((0.000996)*SQRT(A47)*(B11/B5))*1000/(Main!C18/100)</f>
        <v>124.89719708573023</v>
      </c>
      <c r="D47" s="205">
        <f>C47+B6</f>
        <v>204.89719708573023</v>
      </c>
      <c r="E47" s="205">
        <f t="shared" si="0"/>
        <v>-8.0535022607264448</v>
      </c>
      <c r="F47" s="205">
        <f>2*B3*A47*B17*1000000</f>
        <v>186.56033963826874</v>
      </c>
      <c r="G47" s="205">
        <f>(1/(2*B3*A47*F47*1000000))*1000000000000</f>
        <v>60.9358357885286</v>
      </c>
      <c r="H47" s="205">
        <f t="shared" si="1"/>
        <v>383.98412104995901</v>
      </c>
      <c r="I47" s="205">
        <f t="shared" si="2"/>
        <v>36.459840999983697</v>
      </c>
      <c r="J47" s="205">
        <f>SQRT(B7*F47*H47)</f>
        <v>2676.4941255078902</v>
      </c>
      <c r="K47" s="205">
        <f t="shared" si="3"/>
        <v>35.686588340105203</v>
      </c>
      <c r="L47" s="205">
        <f t="shared" si="4"/>
        <v>21.413785714285716</v>
      </c>
      <c r="M47" s="205">
        <f>(D11/L47)*100</f>
        <v>11.738177992788593</v>
      </c>
      <c r="N47" s="206">
        <f t="shared" si="5"/>
        <v>2452.8076463143229</v>
      </c>
      <c r="O47" s="207">
        <f t="shared" si="6"/>
        <v>0.15654881116623531</v>
      </c>
      <c r="P47" s="199">
        <f t="shared" si="7"/>
        <v>12.587386272997501</v>
      </c>
    </row>
    <row r="48" spans="1:16" ht="12.75" customHeight="1" x14ac:dyDescent="0.25">
      <c r="A48" s="199">
        <v>15</v>
      </c>
      <c r="B48" s="200">
        <f>((0.0000000338)*(((A48*A48)*B12)*((A48*A48)*B12)))*1000</f>
        <v>50.116268832146346</v>
      </c>
      <c r="C48" s="200">
        <f>((0.000996)*SQRT(A48)*(B11/B5))*1000/(Main!C18/100)</f>
        <v>129.28088125088502</v>
      </c>
      <c r="D48" s="200">
        <f>C48+B6</f>
        <v>209.28088125088502</v>
      </c>
      <c r="E48" s="201">
        <f t="shared" si="0"/>
        <v>-7.1398647011330922</v>
      </c>
      <c r="F48" s="200">
        <f>2*B3*A48*B17*1000000</f>
        <v>199.88607818385935</v>
      </c>
      <c r="G48" s="201">
        <f>(1/(2*B3*A48*F48*1000000))*1000000000000</f>
        <v>53.081883620229362</v>
      </c>
      <c r="H48" s="200">
        <f t="shared" si="1"/>
        <v>385.28965742275329</v>
      </c>
      <c r="I48" s="201">
        <f t="shared" si="2"/>
        <v>38.931748389865227</v>
      </c>
      <c r="J48" s="200">
        <f>SQRT(B7*F48*H48)</f>
        <v>2775.1403313532965</v>
      </c>
      <c r="K48" s="200">
        <f t="shared" si="3"/>
        <v>37.001871084710622</v>
      </c>
      <c r="L48" s="200">
        <f t="shared" si="4"/>
        <v>19.9862</v>
      </c>
      <c r="M48" s="200">
        <f>(D11/L48)*100</f>
        <v>12.576619277987779</v>
      </c>
      <c r="N48" s="202">
        <f t="shared" si="5"/>
        <v>1994.2234611811859</v>
      </c>
      <c r="O48" s="203">
        <f t="shared" si="6"/>
        <v>0.19320285059455916</v>
      </c>
      <c r="P48" s="199">
        <f t="shared" si="7"/>
        <v>11.988121805448637</v>
      </c>
    </row>
    <row r="49" spans="1:16" ht="12.75" customHeight="1" x14ac:dyDescent="0.25">
      <c r="A49" s="199">
        <v>16</v>
      </c>
      <c r="B49" s="200">
        <f>((0.0000000338)*(((A49*A49)*B12)*((A49*A49)*B12)))*1000</f>
        <v>64.877428033255157</v>
      </c>
      <c r="C49" s="200">
        <f>((0.000996)*SQRT(A49)*(B11/B5))*1000/(Main!C18/100)</f>
        <v>133.52072001805237</v>
      </c>
      <c r="D49" s="200">
        <f>C49+B6</f>
        <v>213.52072001805237</v>
      </c>
      <c r="E49" s="201">
        <f t="shared" si="0"/>
        <v>-6.3257271735067135</v>
      </c>
      <c r="F49" s="200">
        <f>2*B3*A49*B17*1000000</f>
        <v>213.21181672944999</v>
      </c>
      <c r="G49" s="201">
        <f>(1/(2*B3*A49*F49*1000000))*1000000000000</f>
        <v>46.653999275592206</v>
      </c>
      <c r="H49" s="200">
        <f t="shared" si="1"/>
        <v>382.9260686930935</v>
      </c>
      <c r="I49" s="201">
        <f t="shared" si="2"/>
        <v>41.783522481525374</v>
      </c>
      <c r="J49" s="200">
        <f>SQRT(B7*F49*H49)</f>
        <v>2857.3477698579259</v>
      </c>
      <c r="K49" s="200">
        <f t="shared" si="3"/>
        <v>38.097970264772343</v>
      </c>
      <c r="L49" s="200">
        <f t="shared" si="4"/>
        <v>18.7370625</v>
      </c>
      <c r="M49" s="200">
        <f>(D11/L49)*100</f>
        <v>13.415060563186964</v>
      </c>
      <c r="N49" s="202">
        <f t="shared" si="5"/>
        <v>1643.1894974332283</v>
      </c>
      <c r="O49" s="203">
        <f t="shared" si="6"/>
        <v>0.23303828882259142</v>
      </c>
      <c r="P49" s="199">
        <f t="shared" si="7"/>
        <v>11.427547333443766</v>
      </c>
    </row>
    <row r="50" spans="1:16" ht="13.5" customHeight="1" x14ac:dyDescent="0.25">
      <c r="A50" s="199">
        <v>17</v>
      </c>
      <c r="B50" s="200">
        <f>((0.0000000338)*(((A50*A50)*B12)*((A50*A50)*B12)))*1000</f>
        <v>82.681696575401375</v>
      </c>
      <c r="C50" s="200">
        <f>((0.000996)*SQRT(A50)*(B11/B5))*1000/(Main!C18/100)</f>
        <v>137.63000796073811</v>
      </c>
      <c r="D50" s="200">
        <f>C50+B6</f>
        <v>217.63000796073811</v>
      </c>
      <c r="E50" s="201">
        <f t="shared" si="0"/>
        <v>-5.6016287950252082</v>
      </c>
      <c r="F50" s="200">
        <f>2*B3*A50*B17*1000000</f>
        <v>226.53755527504063</v>
      </c>
      <c r="G50" s="201">
        <f>(1/(2*B3*A50*F50*1000000))*1000000000000</f>
        <v>41.326726001908668</v>
      </c>
      <c r="H50" s="200">
        <f t="shared" si="1"/>
        <v>377.17070605847653</v>
      </c>
      <c r="I50" s="201">
        <f t="shared" si="2"/>
        <v>45.072429345465444</v>
      </c>
      <c r="J50" s="200">
        <f>SQRT(B7*F50*H50)</f>
        <v>2923.0691006517145</v>
      </c>
      <c r="K50" s="200">
        <f t="shared" si="3"/>
        <v>38.974254675356192</v>
      </c>
      <c r="L50" s="200">
        <f t="shared" si="4"/>
        <v>17.634882352941176</v>
      </c>
      <c r="M50" s="200">
        <f>(D11/L50)*100</f>
        <v>14.253501848386149</v>
      </c>
      <c r="N50" s="202">
        <f t="shared" si="5"/>
        <v>1369.9377532030335</v>
      </c>
      <c r="O50" s="203">
        <f t="shared" si="6"/>
        <v>0.2753195940301803</v>
      </c>
      <c r="P50" s="199">
        <f t="shared" si="7"/>
        <v>10.900968558996784</v>
      </c>
    </row>
    <row r="51" spans="1:16" s="208" customFormat="1" ht="12.75" customHeight="1" x14ac:dyDescent="0.25">
      <c r="A51" s="204">
        <v>18</v>
      </c>
      <c r="B51" s="205">
        <f>((0.0000000338)*(((A51*A51)*B12)*((A51*A51)*B12)))*1000</f>
        <v>103.92109505033864</v>
      </c>
      <c r="C51" s="205">
        <f>((0.000996)*SQRT(A51)*(B11/B5))*1000/(Main!C18/100)</f>
        <v>141.62010983051283</v>
      </c>
      <c r="D51" s="205">
        <f>C51+B6</f>
        <v>221.62010983051283</v>
      </c>
      <c r="E51" s="205">
        <f t="shared" si="0"/>
        <v>-4.9590225215306791</v>
      </c>
      <c r="F51" s="205">
        <f>2*B3*A51*B17*1000000</f>
        <v>239.86329382063121</v>
      </c>
      <c r="G51" s="205">
        <f>(1/(2*B3*A51*F51*1000000))*1000000000000</f>
        <v>36.862419180714838</v>
      </c>
      <c r="H51" s="205">
        <f t="shared" si="1"/>
        <v>368.40696388713911</v>
      </c>
      <c r="I51" s="205">
        <f t="shared" si="2"/>
        <v>48.859011268620513</v>
      </c>
      <c r="J51" s="205">
        <f>SQRT(B7*F51*H51)</f>
        <v>2972.6639201972953</v>
      </c>
      <c r="K51" s="205">
        <f t="shared" si="3"/>
        <v>39.635518935963937</v>
      </c>
      <c r="L51" s="205">
        <f t="shared" si="4"/>
        <v>16.655166666666666</v>
      </c>
      <c r="M51" s="205">
        <f>(D11/L51)*100</f>
        <v>15.091943133585337</v>
      </c>
      <c r="N51" s="206">
        <f t="shared" si="5"/>
        <v>1154.0645029983716</v>
      </c>
      <c r="O51" s="207">
        <f t="shared" si="6"/>
        <v>0.31922562640994678</v>
      </c>
      <c r="P51" s="199">
        <f t="shared" si="7"/>
        <v>10.40449688449614</v>
      </c>
    </row>
    <row r="52" spans="1:16" ht="12.75" customHeight="1" x14ac:dyDescent="0.25">
      <c r="A52" s="199">
        <v>19</v>
      </c>
      <c r="B52" s="200">
        <f>((0.0000000338)*(((A52*A52)*B12)*((A52*A52)*B12)))*1000</f>
        <v>129.01140287356333</v>
      </c>
      <c r="C52" s="200">
        <f>((0.000996)*SQRT(A52)*(B11/B5))*1000/(Main!C18/100)</f>
        <v>145.50083135686967</v>
      </c>
      <c r="D52" s="200">
        <f>C52+B6</f>
        <v>225.50083135686967</v>
      </c>
      <c r="E52" s="201">
        <f t="shared" si="0"/>
        <v>-4.3900312950726255</v>
      </c>
      <c r="F52" s="200">
        <f>2*B3*A52*B17*1000000</f>
        <v>253.18903236622185</v>
      </c>
      <c r="G52" s="201">
        <f>(1/(2*B3*A52*F52*1000000))*1000000000000</f>
        <v>33.08427649460279</v>
      </c>
      <c r="H52" s="200">
        <f t="shared" si="1"/>
        <v>357.09491509628538</v>
      </c>
      <c r="I52" s="201">
        <f t="shared" si="2"/>
        <v>53.207142406037711</v>
      </c>
      <c r="J52" s="200">
        <f>SQRT(B7*F52*H52)</f>
        <v>3006.8674067229276</v>
      </c>
      <c r="K52" s="200">
        <f t="shared" si="3"/>
        <v>40.091565422972366</v>
      </c>
      <c r="L52" s="200">
        <f t="shared" si="4"/>
        <v>15.778578947368421</v>
      </c>
      <c r="M52" s="200">
        <f>(D11/L52)*100</f>
        <v>15.930384418784522</v>
      </c>
      <c r="N52" s="202">
        <f t="shared" si="5"/>
        <v>981.2661002313024</v>
      </c>
      <c r="O52" s="203">
        <f t="shared" si="6"/>
        <v>0.36391241378063666</v>
      </c>
      <c r="P52" s="199">
        <f t="shared" si="7"/>
        <v>9.9348749675056816</v>
      </c>
    </row>
    <row r="53" spans="1:16" ht="12.75" customHeight="1" x14ac:dyDescent="0.25">
      <c r="A53" s="199">
        <v>20</v>
      </c>
      <c r="B53" s="200">
        <f>((0.0000000338)*(((A53*A53)*B12)*((A53*A53)*B12)))*1000</f>
        <v>158.39215828431435</v>
      </c>
      <c r="C53" s="200">
        <f>((0.000996)*SQRT(A53)*(B11/B5))*1000/(Main!C18/100)</f>
        <v>149.28070318254103</v>
      </c>
      <c r="D53" s="200">
        <f>C53+B6</f>
        <v>229.28070318254103</v>
      </c>
      <c r="E53" s="201">
        <f t="shared" si="0"/>
        <v>-3.8873172321858007</v>
      </c>
      <c r="F53" s="200">
        <f>2*B3*A53*B17*1000000</f>
        <v>266.51477091181249</v>
      </c>
      <c r="G53" s="201">
        <f>(1/(2*B3*A53*F53*1000000))*1000000000000</f>
        <v>29.858559536379008</v>
      </c>
      <c r="H53" s="200">
        <f t="shared" si="1"/>
        <v>343.73668807172686</v>
      </c>
      <c r="I53" s="201">
        <f t="shared" si="2"/>
        <v>58.184071395447432</v>
      </c>
      <c r="J53" s="200">
        <f>SQRT(B7*F53*H53)</f>
        <v>3026.7293350318168</v>
      </c>
      <c r="K53" s="200">
        <f t="shared" si="3"/>
        <v>40.356391133757562</v>
      </c>
      <c r="L53" s="200">
        <f t="shared" si="4"/>
        <v>14.989650000000001</v>
      </c>
      <c r="M53" s="200">
        <f>(D11/L53)*100</f>
        <v>16.768825703983705</v>
      </c>
      <c r="N53" s="202">
        <f t="shared" si="5"/>
        <v>841.31302268581294</v>
      </c>
      <c r="O53" s="203">
        <f t="shared" si="6"/>
        <v>0.40857169543671118</v>
      </c>
      <c r="P53" s="199">
        <f t="shared" si="7"/>
        <v>9.489347073282639</v>
      </c>
    </row>
    <row r="54" spans="1:16" s="208" customFormat="1" ht="12.75" customHeight="1" x14ac:dyDescent="0.25">
      <c r="A54" s="204">
        <v>21</v>
      </c>
      <c r="B54" s="205">
        <f>((0.0000000338)*(((A54*A54)*B12)*((A54*A54)*B12)))*1000</f>
        <v>192.52665834557337</v>
      </c>
      <c r="C54" s="205">
        <f>((0.000996)*SQRT(A54)*(B11/B5))*1000/(Main!C18/100)</f>
        <v>152.96720158193261</v>
      </c>
      <c r="D54" s="205">
        <f>C54+B6</f>
        <v>232.96720158193261</v>
      </c>
      <c r="E54" s="205">
        <f t="shared" si="0"/>
        <v>-3.4440242448272222</v>
      </c>
      <c r="F54" s="205">
        <f>2*B3*A54*B17*1000000</f>
        <v>279.84050945740313</v>
      </c>
      <c r="G54" s="205">
        <f>(1/(2*B3*A54*F54*1000000))*1000000000000</f>
        <v>27.082593683790485</v>
      </c>
      <c r="H54" s="205">
        <f t="shared" si="1"/>
        <v>328.84200668028592</v>
      </c>
      <c r="I54" s="205">
        <f t="shared" si="2"/>
        <v>63.860454483897755</v>
      </c>
      <c r="J54" s="205">
        <f>SQRT(B7*F54*H54)</f>
        <v>3033.5344843994435</v>
      </c>
      <c r="K54" s="205">
        <f t="shared" si="3"/>
        <v>40.447126458659248</v>
      </c>
      <c r="L54" s="205">
        <f t="shared" si="4"/>
        <v>14.275857142857143</v>
      </c>
      <c r="M54" s="205">
        <f>(D11/L54)*100</f>
        <v>17.607266989182889</v>
      </c>
      <c r="N54" s="206">
        <f t="shared" si="5"/>
        <v>726.75782113016999</v>
      </c>
      <c r="O54" s="207">
        <f t="shared" si="6"/>
        <v>0.45247811185424702</v>
      </c>
      <c r="P54" s="199">
        <f t="shared" si="7"/>
        <v>9.0655610918838754</v>
      </c>
    </row>
    <row r="55" spans="1:16" ht="12.75" customHeight="1" x14ac:dyDescent="0.25">
      <c r="A55" s="199">
        <v>22</v>
      </c>
      <c r="B55" s="200">
        <f>((0.0000000338)*(((A55*A55)*B12)*((A55*A55)*B12)))*1000</f>
        <v>231.90195894406463</v>
      </c>
      <c r="C55" s="200">
        <f>((0.000996)*SQRT(A55)*(B11/B5))*1000/(Main!C18/100)</f>
        <v>156.56692235891111</v>
      </c>
      <c r="D55" s="200">
        <f>C55+B6</f>
        <v>236.56692235891111</v>
      </c>
      <c r="E55" s="201">
        <f t="shared" si="0"/>
        <v>-3.0537633030017246</v>
      </c>
      <c r="F55" s="200">
        <f>2*B3*A55*B17*1000000</f>
        <v>293.16624800299371</v>
      </c>
      <c r="G55" s="201">
        <f>(1/(2*B3*A55*F55*1000000))*1000000000000</f>
        <v>24.676495484610761</v>
      </c>
      <c r="H55" s="200">
        <f t="shared" si="1"/>
        <v>312.89831587916348</v>
      </c>
      <c r="I55" s="201">
        <f t="shared" si="2"/>
        <v>70.310381627288976</v>
      </c>
      <c r="J55" s="200">
        <f>SQRT(B7*F55*H55)</f>
        <v>3028.716316737999</v>
      </c>
      <c r="K55" s="200">
        <f t="shared" si="3"/>
        <v>40.38288422317332</v>
      </c>
      <c r="L55" s="200">
        <f t="shared" si="4"/>
        <v>13.626954545454545</v>
      </c>
      <c r="M55" s="200">
        <f>(D11/L55)*100</f>
        <v>18.445708274382078</v>
      </c>
      <c r="N55" s="202">
        <f t="shared" si="5"/>
        <v>632.0909261350962</v>
      </c>
      <c r="O55" s="203">
        <f t="shared" si="6"/>
        <v>0.49502105305066191</v>
      </c>
      <c r="P55" s="199">
        <f t="shared" si="7"/>
        <v>8.6614933701181371</v>
      </c>
    </row>
    <row r="56" spans="1:16" ht="12.75" customHeight="1" x14ac:dyDescent="0.25">
      <c r="A56" s="199">
        <v>23</v>
      </c>
      <c r="B56" s="200">
        <f>((0.0000000338)*(((A56*A56)*B12)*((A56*A56)*B12)))*1000</f>
        <v>277.02887479025509</v>
      </c>
      <c r="C56" s="200">
        <f>((0.000996)*SQRT(A56)*(B11/B5))*1000/(Main!C18/100)</f>
        <v>160.08571951949679</v>
      </c>
      <c r="D56" s="200">
        <f>C56+B6</f>
        <v>240.08571951949679</v>
      </c>
      <c r="E56" s="201">
        <f t="shared" si="0"/>
        <v>-2.710617568089865</v>
      </c>
      <c r="F56" s="200">
        <f>2*B3*A56*B17*1000000</f>
        <v>306.49198654858435</v>
      </c>
      <c r="G56" s="201">
        <f>(1/(2*B3*A56*F56*1000000))*1000000000000</f>
        <v>22.577360708037062</v>
      </c>
      <c r="H56" s="200">
        <f t="shared" si="1"/>
        <v>296.34822718327257</v>
      </c>
      <c r="I56" s="201">
        <f t="shared" si="2"/>
        <v>77.611397303132719</v>
      </c>
      <c r="J56" s="200">
        <f>SQRT(B7*F56*H56)</f>
        <v>3013.7743256513481</v>
      </c>
      <c r="K56" s="200">
        <f t="shared" si="3"/>
        <v>40.183657675351306</v>
      </c>
      <c r="L56" s="200">
        <f t="shared" si="4"/>
        <v>13.034478260869566</v>
      </c>
      <c r="M56" s="200">
        <f>(D11/L56)*100</f>
        <v>19.284149559581259</v>
      </c>
      <c r="N56" s="202">
        <f t="shared" si="5"/>
        <v>553.17696897234362</v>
      </c>
      <c r="O56" s="203">
        <f t="shared" si="6"/>
        <v>0.53572047248064059</v>
      </c>
      <c r="P56" s="199">
        <f t="shared" si="7"/>
        <v>8.2753902662104046</v>
      </c>
    </row>
    <row r="57" spans="1:16" ht="12.75" customHeight="1" x14ac:dyDescent="0.25">
      <c r="A57" s="199">
        <v>24</v>
      </c>
      <c r="B57" s="200">
        <f>((0.0000000338)*(((A57*A57)*B12)*((A57*A57)*B12)))*1000</f>
        <v>328.44197941835426</v>
      </c>
      <c r="C57" s="200">
        <f>((0.000996)*SQRT(A57)*(B11/B5))*1000/(Main!C18/100)</f>
        <v>163.52881706662191</v>
      </c>
      <c r="D57" s="200">
        <f>C57+B6</f>
        <v>243.52881706662191</v>
      </c>
      <c r="E57" s="201">
        <f t="shared" si="0"/>
        <v>-2.4091519445610885</v>
      </c>
      <c r="F57" s="200">
        <f>2*B3*A57*B17*1000000</f>
        <v>319.81772509417499</v>
      </c>
      <c r="G57" s="201">
        <f>(1/(2*B3*A57*F57*1000000))*1000000000000</f>
        <v>20.735110789152092</v>
      </c>
      <c r="H57" s="200">
        <f t="shared" si="1"/>
        <v>279.57522224875999</v>
      </c>
      <c r="I57" s="201">
        <f t="shared" si="2"/>
        <v>85.844517289323008</v>
      </c>
      <c r="J57" s="200">
        <f>SQRT(B7*F57*H57)</f>
        <v>2990.2025277946777</v>
      </c>
      <c r="K57" s="200">
        <f t="shared" si="3"/>
        <v>39.869367037262371</v>
      </c>
      <c r="L57" s="200">
        <f t="shared" si="4"/>
        <v>12.491375</v>
      </c>
      <c r="M57" s="200">
        <f>(D11/L57)*100</f>
        <v>20.122590844780447</v>
      </c>
      <c r="N57" s="202">
        <f t="shared" si="5"/>
        <v>486.87096220243802</v>
      </c>
      <c r="O57" s="203">
        <f t="shared" si="6"/>
        <v>0.57422858201289539</v>
      </c>
      <c r="P57" s="199">
        <f t="shared" si="7"/>
        <v>7.9057221523301404</v>
      </c>
    </row>
    <row r="58" spans="1:16" s="208" customFormat="1" ht="12.75" customHeight="1" x14ac:dyDescent="0.25">
      <c r="A58" s="204">
        <v>25</v>
      </c>
      <c r="B58" s="205">
        <f>((0.0000000338)*(((A58*A58)*B12)*((A58*A58)*B12)))*1000</f>
        <v>386.69960518631427</v>
      </c>
      <c r="C58" s="205">
        <f>((0.000996)*SQRT(A58)*(B11/B5))*1000/(Main!C18/100)</f>
        <v>166.90090002256548</v>
      </c>
      <c r="D58" s="205">
        <f>C58+B6</f>
        <v>246.90090002256548</v>
      </c>
      <c r="E58" s="205">
        <f t="shared" si="0"/>
        <v>-2.1444178620538206</v>
      </c>
      <c r="F58" s="205">
        <f>2*B3*A58*B17*1000000</f>
        <v>333.14346363976563</v>
      </c>
      <c r="G58" s="205">
        <f>(1/(2*B3*A58*F58*1000000))*1000000000000</f>
        <v>19.109478103282569</v>
      </c>
      <c r="H58" s="205">
        <f t="shared" si="1"/>
        <v>262.8970943843691</v>
      </c>
      <c r="I58" s="205">
        <f t="shared" si="2"/>
        <v>95.094242325283034</v>
      </c>
      <c r="J58" s="205">
        <f>SQRT(B7*F58*H58)</f>
        <v>2959.4331991791792</v>
      </c>
      <c r="K58" s="205">
        <f t="shared" si="3"/>
        <v>39.459109322389054</v>
      </c>
      <c r="L58" s="205">
        <f t="shared" si="4"/>
        <v>11.991720000000001</v>
      </c>
      <c r="M58" s="205">
        <f>(D11/L58)*100</f>
        <v>20.961032129979632</v>
      </c>
      <c r="N58" s="206">
        <f t="shared" si="5"/>
        <v>430.7522676151363</v>
      </c>
      <c r="O58" s="207">
        <f t="shared" si="6"/>
        <v>0.61032085992234275</v>
      </c>
      <c r="P58" s="199">
        <f t="shared" si="7"/>
        <v>7.5511468131215098</v>
      </c>
    </row>
    <row r="59" spans="1:16" ht="12.75" customHeight="1" x14ac:dyDescent="0.25">
      <c r="A59" s="199">
        <v>26</v>
      </c>
      <c r="B59" s="200">
        <f>((0.0000000338)*(((A59*A59)*B12)*((A59*A59)*B12)))*1000</f>
        <v>452.38384327583026</v>
      </c>
      <c r="C59" s="200">
        <f>((0.000996)*SQRT(A59)*(B11/B5))*1000/(Main!C18/100)</f>
        <v>170.20618921025192</v>
      </c>
      <c r="D59" s="200">
        <f>C59+B6</f>
        <v>250.20618921025192</v>
      </c>
      <c r="E59" s="201">
        <f t="shared" si="0"/>
        <v>-1.9119489838362071</v>
      </c>
      <c r="F59" s="200">
        <f>2*B3*A59*B17*1000000</f>
        <v>346.46920218535627</v>
      </c>
      <c r="G59" s="201">
        <f>(1/(2*B3*A59*F59*1000000))*1000000000000</f>
        <v>17.667786707916576</v>
      </c>
      <c r="H59" s="200">
        <f t="shared" si="1"/>
        <v>246.56569703913325</v>
      </c>
      <c r="I59" s="201">
        <f t="shared" si="2"/>
        <v>105.448569335553</v>
      </c>
      <c r="J59" s="200">
        <f>SQRT(B7*F59*H59)</f>
        <v>2922.796953936841</v>
      </c>
      <c r="K59" s="200">
        <f t="shared" si="3"/>
        <v>38.970626052491212</v>
      </c>
      <c r="L59" s="200">
        <f t="shared" si="4"/>
        <v>11.5305</v>
      </c>
      <c r="M59" s="200">
        <f>(D11/L59)*100</f>
        <v>21.799473415178817</v>
      </c>
      <c r="N59" s="202">
        <f t="shared" si="5"/>
        <v>382.93719739909557</v>
      </c>
      <c r="O59" s="203">
        <f t="shared" si="6"/>
        <v>0.64388024645765474</v>
      </c>
      <c r="P59" s="199">
        <f t="shared" si="7"/>
        <v>7.210480027145902</v>
      </c>
    </row>
    <row r="60" spans="1:16" ht="12.75" customHeight="1" x14ac:dyDescent="0.25">
      <c r="A60" s="199">
        <v>27</v>
      </c>
      <c r="B60" s="200">
        <f>((0.0000000338)*(((A60*A60)*B12)*((A60*A60)*B12)))*1000</f>
        <v>526.10054369233933</v>
      </c>
      <c r="C60" s="200">
        <f>((0.000996)*SQRT(A60)*(B11/B5))*1000/(Main!C18/100)</f>
        <v>173.44850320083418</v>
      </c>
      <c r="D60" s="200">
        <f>C60+B6</f>
        <v>253.44850320083418</v>
      </c>
      <c r="E60" s="201">
        <f t="shared" si="0"/>
        <v>-1.7077469427977887</v>
      </c>
      <c r="F60" s="200">
        <f>2*B3*A60*B17*1000000</f>
        <v>359.79494073094685</v>
      </c>
      <c r="G60" s="201">
        <f>(1/(2*B3*A60*F60*1000000))*1000000000000</f>
        <v>16.383297413651039</v>
      </c>
      <c r="H60" s="200">
        <f t="shared" si="1"/>
        <v>230.77120173828641</v>
      </c>
      <c r="I60" s="201">
        <f t="shared" si="2"/>
        <v>116.99900072722345</v>
      </c>
      <c r="J60" s="200">
        <f>SQRT(B7*F60*H60)</f>
        <v>2881.4980626721949</v>
      </c>
      <c r="K60" s="200">
        <f t="shared" si="3"/>
        <v>38.419974168962597</v>
      </c>
      <c r="L60" s="200">
        <f t="shared" si="4"/>
        <v>11.103444444444445</v>
      </c>
      <c r="M60" s="200">
        <f>(D11/L60)*100</f>
        <v>22.637914700378001</v>
      </c>
      <c r="N60" s="202">
        <f t="shared" si="5"/>
        <v>341.9450379254435</v>
      </c>
      <c r="O60" s="203">
        <f t="shared" si="6"/>
        <v>0.67487805390702282</v>
      </c>
      <c r="P60" s="199">
        <f t="shared" si="7"/>
        <v>6.882671703382516</v>
      </c>
    </row>
    <row r="61" spans="1:16" s="208" customFormat="1" ht="12.75" customHeight="1" x14ac:dyDescent="0.25">
      <c r="A61" s="204">
        <v>28</v>
      </c>
      <c r="B61" s="205">
        <f>((0.0000000338)*(((A61*A61)*B12)*((A61*A61)*B12)))*1000</f>
        <v>608.47931526502214</v>
      </c>
      <c r="C61" s="205">
        <f>((0.000996)*SQRT(A61)*(B11/B5))*1000/(Main!C18/100)</f>
        <v>176.63131002102509</v>
      </c>
      <c r="D61" s="205">
        <f>C61+B6</f>
        <v>256.63131002102512</v>
      </c>
      <c r="E61" s="205">
        <f t="shared" si="0"/>
        <v>-1.5282582670690239</v>
      </c>
      <c r="F61" s="205">
        <f>2*B3*A61*B17*1000000</f>
        <v>373.12067927653749</v>
      </c>
      <c r="G61" s="205">
        <f>(1/(2*B3*A61*F61*1000000))*1000000000000</f>
        <v>15.23395894713215</v>
      </c>
      <c r="H61" s="205">
        <f t="shared" si="1"/>
        <v>215.64911374956574</v>
      </c>
      <c r="I61" s="205">
        <f t="shared" si="2"/>
        <v>129.84055215045549</v>
      </c>
      <c r="J61" s="205">
        <f>SQRT(B7*F61*H61)</f>
        <v>2836.602612415445</v>
      </c>
      <c r="K61" s="205">
        <f t="shared" si="3"/>
        <v>37.821368165539262</v>
      </c>
      <c r="L61" s="205">
        <f t="shared" si="4"/>
        <v>10.706892857142858</v>
      </c>
      <c r="M61" s="205">
        <f>(D11/L61)*100</f>
        <v>23.476355985577186</v>
      </c>
      <c r="N61" s="206">
        <f t="shared" si="5"/>
        <v>306.60095578929037</v>
      </c>
      <c r="O61" s="207">
        <f t="shared" si="6"/>
        <v>0.70335434276261444</v>
      </c>
      <c r="P61" s="199">
        <f t="shared" si="7"/>
        <v>6.5667863597178773</v>
      </c>
    </row>
    <row r="62" spans="1:16" s="208" customFormat="1" ht="12.75" customHeight="1" x14ac:dyDescent="0.25">
      <c r="A62" s="204">
        <v>29</v>
      </c>
      <c r="B62" s="205">
        <f>((0.0000000338)*(((A62*A62)*B12)*((A62*A62)*B12)))*1000</f>
        <v>700.17352564680095</v>
      </c>
      <c r="C62" s="205">
        <f>((0.000996)*SQRT(A62)*(B11/B5))*1000/(Main!C18/100)</f>
        <v>179.75777061611879</v>
      </c>
      <c r="D62" s="205">
        <f>C62+B6</f>
        <v>259.75777061611882</v>
      </c>
      <c r="E62" s="205">
        <f t="shared" si="0"/>
        <v>-1.3703446546413787</v>
      </c>
      <c r="F62" s="205">
        <f>2*B3*A62*B17*1000000</f>
        <v>386.44641782212813</v>
      </c>
      <c r="G62" s="205">
        <f>(1/(2*B3*A62*F62*1000000))*1000000000000</f>
        <v>14.201455189716533</v>
      </c>
      <c r="H62" s="205">
        <f t="shared" si="1"/>
        <v>201.2885814467094</v>
      </c>
      <c r="I62" s="205">
        <f t="shared" si="2"/>
        <v>144.07175902164957</v>
      </c>
      <c r="J62" s="205">
        <f>SQRT(B7*F62*H62)</f>
        <v>2789.0365943920228</v>
      </c>
      <c r="K62" s="205">
        <f t="shared" si="3"/>
        <v>37.187154591893638</v>
      </c>
      <c r="L62" s="205">
        <f t="shared" si="4"/>
        <v>10.337689655172413</v>
      </c>
      <c r="M62" s="205">
        <f>(D11/L62)*100</f>
        <v>24.314797270776374</v>
      </c>
      <c r="N62" s="206">
        <f t="shared" si="5"/>
        <v>275.96474564297444</v>
      </c>
      <c r="O62" s="207">
        <f t="shared" si="6"/>
        <v>0.72939962304867634</v>
      </c>
      <c r="P62" s="199">
        <f t="shared" si="7"/>
        <v>6.2619870285831389</v>
      </c>
    </row>
    <row r="63" spans="1:16" s="208" customFormat="1" ht="12.75" customHeight="1" x14ac:dyDescent="0.25">
      <c r="A63" s="204">
        <v>30</v>
      </c>
      <c r="B63" s="205">
        <f>((0.0000000338)*(((A63*A63)*B12)*((A63*A63)*B12)))*1000</f>
        <v>801.86030131434154</v>
      </c>
      <c r="C63" s="205">
        <f>((0.000996)*SQRT(A63)*(B11/B5))*1000/(Main!C18/100)</f>
        <v>182.8307756205472</v>
      </c>
      <c r="D63" s="205">
        <f>C63+B6</f>
        <v>262.83077562054723</v>
      </c>
      <c r="E63" s="205">
        <f t="shared" si="0"/>
        <v>-1.2312490144910242</v>
      </c>
      <c r="F63" s="205">
        <f>2*B3*A63*B17*1000000</f>
        <v>399.77215636771871</v>
      </c>
      <c r="G63" s="205">
        <f>(1/(2*B3*A63*F63*1000000))*1000000000000</f>
        <v>13.270470905057341</v>
      </c>
      <c r="H63" s="205">
        <f t="shared" si="1"/>
        <v>187.74091613438347</v>
      </c>
      <c r="I63" s="205">
        <f t="shared" si="2"/>
        <v>159.79468204217261</v>
      </c>
      <c r="J63" s="205">
        <f>SQRT(B7*F63*H63)</f>
        <v>2739.5910439606405</v>
      </c>
      <c r="K63" s="205">
        <f t="shared" si="3"/>
        <v>36.527880586141869</v>
      </c>
      <c r="L63" s="205">
        <f t="shared" si="4"/>
        <v>9.9931000000000001</v>
      </c>
      <c r="M63" s="205">
        <f>(D11/L63)*100</f>
        <v>25.153238555975559</v>
      </c>
      <c r="N63" s="206">
        <f t="shared" si="5"/>
        <v>249.27793264764824</v>
      </c>
      <c r="O63" s="207">
        <f t="shared" si="6"/>
        <v>0.75313893267782073</v>
      </c>
      <c r="P63" s="199">
        <f t="shared" si="7"/>
        <v>5.9675218921690121</v>
      </c>
    </row>
  </sheetData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Main</vt:lpstr>
      <vt:lpstr>Formulas</vt:lpstr>
      <vt:lpstr>Calc1</vt:lpstr>
      <vt:lpstr>Formulas!eqa</vt:lpstr>
      <vt:lpstr>Formulas!ref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Stephen R Yates</cp:lastModifiedBy>
  <dcterms:created xsi:type="dcterms:W3CDTF">2020-04-21T02:23:16Z</dcterms:created>
  <dcterms:modified xsi:type="dcterms:W3CDTF">2020-04-21T02:23:16Z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2004-04-05T10:56:00Z</dcterms:created>
  <dc:creator>Stephen R. Yates - AA5TB</dc:creator>
  <dc:description/>
  <dc:language>en-US</dc:language>
  <cp:lastModifiedBy/>
  <cp:lastPrinted>2005-09-21T09:58:07Z</cp:lastPrinted>
  <dcterms:modified xsi:type="dcterms:W3CDTF">2019-05-04T23:09:51Z</dcterms:modified>
  <cp:revision>4</cp:revision>
  <dc:subject/>
  <dc:title>Small Magnetic Loop Antenna Calculator</dc:title>
</cp:coreProperties>
</file>